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offic\Dropbox\Innung Steinm\ONR 27214, B 3114, B3113\Steinbrecher 2016-06-14\"/>
    </mc:Choice>
  </mc:AlternateContent>
  <xr:revisionPtr revIDLastSave="0" documentId="13_ncr:1_{DE720DA9-75A3-43C4-BEED-F196EF56CF29}" xr6:coauthVersionLast="31" xr6:coauthVersionMax="31" xr10:uidLastSave="{00000000-0000-0000-0000-000000000000}"/>
  <bookViews>
    <workbookView xWindow="410" yWindow="30" windowWidth="8180" windowHeight="9800" xr2:uid="{00000000-000D-0000-FFFF-FFFF00000000}"/>
  </bookViews>
  <sheets>
    <sheet name="Programm Kurz" sheetId="3" r:id="rId1"/>
    <sheet name="Programm Detail" sheetId="1" r:id="rId2"/>
    <sheet name="Erläuterung" sheetId="2" r:id="rId3"/>
    <sheet name="Windlasten" sheetId="4" r:id="rId4"/>
  </sheets>
  <calcPr calcId="179017"/>
</workbook>
</file>

<file path=xl/calcChain.xml><?xml version="1.0" encoding="utf-8"?>
<calcChain xmlns="http://schemas.openxmlformats.org/spreadsheetml/2006/main">
  <c r="R18" i="3" l="1"/>
  <c r="R47" i="1" l="1"/>
  <c r="B31" i="3" l="1"/>
  <c r="B30" i="3"/>
  <c r="E31" i="1"/>
  <c r="E48" i="3" l="1"/>
  <c r="T26" i="3" l="1"/>
  <c r="M26" i="3"/>
  <c r="M23" i="3"/>
  <c r="T23" i="3"/>
  <c r="M24" i="3"/>
  <c r="N23" i="1"/>
  <c r="T22" i="1"/>
  <c r="N22" i="1"/>
  <c r="J47" i="1"/>
  <c r="N25" i="1"/>
  <c r="T25" i="1"/>
  <c r="J52" i="1"/>
  <c r="L11" i="1"/>
  <c r="L6" i="1" s="1"/>
  <c r="H53" i="1" s="1"/>
  <c r="H48" i="1" l="1"/>
  <c r="N27" i="1"/>
  <c r="I31" i="3"/>
  <c r="I30" i="3"/>
  <c r="M28" i="3"/>
  <c r="T28" i="3"/>
  <c r="M29" i="3"/>
  <c r="T29" i="3"/>
  <c r="L54" i="1"/>
  <c r="Q134" i="2"/>
  <c r="T27" i="1" l="1"/>
  <c r="T28" i="1"/>
  <c r="N29" i="1" l="1"/>
  <c r="N28" i="1"/>
  <c r="Q144" i="2"/>
  <c r="Q143" i="2"/>
  <c r="D143" i="2"/>
  <c r="Q139" i="2"/>
  <c r="D133" i="2"/>
  <c r="Q135" i="2" s="1"/>
  <c r="Q136" i="2" s="1"/>
  <c r="Q151" i="2" l="1"/>
  <c r="Q146" i="2"/>
  <c r="Q145" i="2"/>
  <c r="Q147" i="2" s="1"/>
  <c r="Q150" i="2"/>
  <c r="D40" i="1"/>
  <c r="I31" i="1"/>
  <c r="I32" i="1" s="1"/>
  <c r="B31" i="1"/>
  <c r="D49" i="1" l="1"/>
  <c r="D51" i="1"/>
  <c r="I33" i="1"/>
  <c r="Q61" i="2"/>
  <c r="Q121" i="2"/>
  <c r="Q133" i="2"/>
  <c r="S136" i="2"/>
  <c r="S148" i="2"/>
  <c r="O10" i="1"/>
  <c r="O16" i="1"/>
  <c r="D18" i="1"/>
  <c r="C20" i="1"/>
  <c r="D41" i="1" s="1"/>
  <c r="D55" i="1" s="1"/>
  <c r="N21" i="1"/>
  <c r="T21" i="1"/>
  <c r="T23" i="1"/>
  <c r="N24" i="1"/>
  <c r="T24" i="1"/>
  <c r="N26" i="1"/>
  <c r="T26" i="1"/>
  <c r="T29" i="1"/>
  <c r="G40" i="1"/>
  <c r="M45" i="1"/>
  <c r="N45" i="1"/>
  <c r="O45" i="1"/>
  <c r="P45" i="1"/>
  <c r="Q45" i="1"/>
  <c r="R45" i="1"/>
  <c r="S45" i="1"/>
  <c r="T45" i="1"/>
  <c r="L49" i="1"/>
  <c r="M49" i="1"/>
  <c r="N49" i="1"/>
  <c r="O49" i="1"/>
  <c r="P49" i="1"/>
  <c r="Q49" i="1"/>
  <c r="R49" i="1"/>
  <c r="S49" i="1"/>
  <c r="T49" i="1"/>
  <c r="M54" i="1"/>
  <c r="N54" i="1"/>
  <c r="O54" i="1"/>
  <c r="P54" i="1"/>
  <c r="Q54" i="1"/>
  <c r="R54" i="1"/>
  <c r="S54" i="1"/>
  <c r="T54" i="1"/>
  <c r="M13" i="3"/>
  <c r="N13" i="3"/>
  <c r="O13" i="3"/>
  <c r="P13" i="3"/>
  <c r="Q13" i="3"/>
  <c r="R13" i="3"/>
  <c r="S13" i="3"/>
  <c r="T13" i="3"/>
  <c r="M16" i="3"/>
  <c r="N16" i="3"/>
  <c r="O16" i="3"/>
  <c r="P16" i="3"/>
  <c r="Q16" i="3"/>
  <c r="R16" i="3"/>
  <c r="S16" i="3"/>
  <c r="T16" i="3"/>
  <c r="R19" i="3"/>
  <c r="D20" i="3"/>
  <c r="M22" i="3"/>
  <c r="T22" i="3"/>
  <c r="T24" i="3"/>
  <c r="M25" i="3"/>
  <c r="T25" i="3"/>
  <c r="M27" i="3"/>
  <c r="T27" i="3"/>
  <c r="M30" i="3"/>
  <c r="T30" i="3"/>
  <c r="E52" i="3"/>
  <c r="J50" i="3"/>
  <c r="O46" i="1" l="1"/>
  <c r="I32" i="3"/>
  <c r="E47" i="3" s="1"/>
  <c r="K41" i="1"/>
  <c r="G41" i="1"/>
  <c r="K40" i="1"/>
  <c r="H46" i="1"/>
  <c r="Q152" i="2"/>
  <c r="P46" i="1"/>
  <c r="D52" i="1"/>
  <c r="N46" i="1"/>
  <c r="Q138" i="2"/>
  <c r="Q140" i="2" s="1"/>
  <c r="D47" i="1"/>
  <c r="M46" i="1"/>
  <c r="T46" i="1"/>
  <c r="S46" i="1"/>
  <c r="R46" i="1"/>
  <c r="Q46" i="1"/>
  <c r="E49" i="3" l="1"/>
  <c r="E50" i="3" s="1"/>
  <c r="E51" i="3"/>
  <c r="E53" i="3" s="1"/>
  <c r="F51" i="1"/>
  <c r="H51" i="1"/>
  <c r="Q148" i="2"/>
  <c r="N14" i="3" l="1"/>
  <c r="E54" i="3"/>
  <c r="Q17" i="3" s="1"/>
  <c r="Q14" i="3"/>
  <c r="R14" i="3"/>
  <c r="M14" i="3"/>
  <c r="T14" i="3"/>
  <c r="P14" i="3"/>
  <c r="S14" i="3"/>
  <c r="O14" i="3"/>
  <c r="J51" i="1"/>
  <c r="J54" i="1" s="1"/>
  <c r="F48" i="1"/>
  <c r="J48" i="1" s="1"/>
  <c r="F53" i="1"/>
  <c r="J53" i="1" s="1"/>
  <c r="M17" i="3" l="1"/>
  <c r="S17" i="3"/>
  <c r="P17" i="3"/>
  <c r="O17" i="3"/>
  <c r="T17" i="3"/>
  <c r="R17" i="3"/>
  <c r="N17" i="3"/>
  <c r="F46" i="1"/>
  <c r="J46" i="1" s="1"/>
  <c r="J49" i="1" l="1"/>
  <c r="C50" i="1"/>
  <c r="C55" i="1" s="1"/>
  <c r="D50" i="1" l="1"/>
  <c r="J50" i="1"/>
  <c r="L50" i="1" l="1"/>
  <c r="Q50" i="1" s="1"/>
  <c r="J55" i="1"/>
  <c r="L55" i="1" s="1"/>
  <c r="O50" i="1" l="1"/>
  <c r="T50" i="1"/>
  <c r="R50" i="1"/>
  <c r="S50" i="1"/>
  <c r="P50" i="1"/>
  <c r="N50" i="1"/>
  <c r="M50" i="1"/>
  <c r="T55" i="1"/>
  <c r="M55" i="1"/>
  <c r="P55" i="1"/>
  <c r="R55" i="1"/>
  <c r="S55" i="1"/>
  <c r="N55" i="1"/>
  <c r="O55" i="1"/>
  <c r="Q55" i="1"/>
</calcChain>
</file>

<file path=xl/sharedStrings.xml><?xml version="1.0" encoding="utf-8"?>
<sst xmlns="http://schemas.openxmlformats.org/spreadsheetml/2006/main" count="483" uniqueCount="315">
  <si>
    <t>Standsicherheit von Grabsteinen</t>
  </si>
  <si>
    <t>Berechnungsblatt</t>
  </si>
  <si>
    <t>Dübelkräfte für die Fugen 1+2 bei einer Kippsicherheit   s = 1,5</t>
  </si>
  <si>
    <t>erstellt von</t>
  </si>
  <si>
    <t>Dipl.Ing. Josef Robl</t>
  </si>
  <si>
    <r>
      <t>H</t>
    </r>
    <r>
      <rPr>
        <vertAlign val="subscript"/>
        <sz val="10"/>
        <rFont val="Arial"/>
        <family val="2"/>
      </rPr>
      <t>1</t>
    </r>
  </si>
  <si>
    <r>
      <t>W</t>
    </r>
    <r>
      <rPr>
        <vertAlign val="subscript"/>
        <sz val="10"/>
        <rFont val="Arial"/>
        <family val="2"/>
      </rPr>
      <t>1</t>
    </r>
  </si>
  <si>
    <r>
      <t>G</t>
    </r>
    <r>
      <rPr>
        <vertAlign val="subscript"/>
        <sz val="10"/>
        <rFont val="Arial"/>
        <family val="2"/>
      </rPr>
      <t>1</t>
    </r>
  </si>
  <si>
    <t>Dübel mittig</t>
  </si>
  <si>
    <t>Fuge 1</t>
  </si>
  <si>
    <r>
      <t>W</t>
    </r>
    <r>
      <rPr>
        <vertAlign val="subscript"/>
        <sz val="10"/>
        <rFont val="Arial"/>
        <family val="2"/>
      </rPr>
      <t>2</t>
    </r>
  </si>
  <si>
    <r>
      <t>H</t>
    </r>
    <r>
      <rPr>
        <vertAlign val="subscript"/>
        <sz val="10"/>
        <rFont val="Arial"/>
        <family val="2"/>
      </rPr>
      <t>2</t>
    </r>
  </si>
  <si>
    <r>
      <t>G</t>
    </r>
    <r>
      <rPr>
        <vertAlign val="subscript"/>
        <sz val="10"/>
        <rFont val="Arial"/>
        <family val="2"/>
      </rPr>
      <t>2</t>
    </r>
  </si>
  <si>
    <t>Fuge 2</t>
  </si>
  <si>
    <r>
      <t>H</t>
    </r>
    <r>
      <rPr>
        <vertAlign val="subscript"/>
        <sz val="10"/>
        <rFont val="Arial"/>
        <family val="2"/>
      </rPr>
      <t>3</t>
    </r>
  </si>
  <si>
    <t>EINFASSUNG</t>
  </si>
  <si>
    <r>
      <t>G</t>
    </r>
    <r>
      <rPr>
        <vertAlign val="subscript"/>
        <sz val="10"/>
        <rFont val="Arial"/>
        <family val="2"/>
      </rPr>
      <t>3</t>
    </r>
  </si>
  <si>
    <t>Fuge 3</t>
  </si>
  <si>
    <r>
      <t>H</t>
    </r>
    <r>
      <rPr>
        <vertAlign val="subscript"/>
        <sz val="10"/>
        <rFont val="Arial"/>
        <family val="2"/>
      </rPr>
      <t>ges.</t>
    </r>
  </si>
  <si>
    <t>=</t>
  </si>
  <si>
    <t>cm</t>
  </si>
  <si>
    <t>GOK</t>
  </si>
  <si>
    <r>
      <t>B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>=</t>
    </r>
  </si>
  <si>
    <r>
      <t>D</t>
    </r>
    <r>
      <rPr>
        <vertAlign val="subscript"/>
        <sz val="10"/>
        <rFont val="Arial"/>
        <family val="2"/>
      </rPr>
      <t>1</t>
    </r>
  </si>
  <si>
    <r>
      <t>B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=</t>
    </r>
  </si>
  <si>
    <r>
      <t>D</t>
    </r>
    <r>
      <rPr>
        <vertAlign val="subscript"/>
        <sz val="10"/>
        <rFont val="Arial"/>
        <family val="2"/>
      </rPr>
      <t>2</t>
    </r>
  </si>
  <si>
    <t>Wert</t>
  </si>
  <si>
    <t>E i n - / A u s g a b e h i n w e i s e</t>
  </si>
  <si>
    <t>Flag</t>
  </si>
  <si>
    <t>E i n g a b e w e r t e :</t>
  </si>
  <si>
    <t>Einheit</t>
  </si>
  <si>
    <t>Grenzen</t>
  </si>
  <si>
    <r>
      <t>B</t>
    </r>
    <r>
      <rPr>
        <vertAlign val="subscript"/>
        <sz val="10"/>
        <rFont val="Arial"/>
        <family val="2"/>
      </rPr>
      <t>1</t>
    </r>
  </si>
  <si>
    <t>Spezifisches Gewicht</t>
  </si>
  <si>
    <t>Geländeform für Wind</t>
  </si>
  <si>
    <t>GF</t>
  </si>
  <si>
    <t>KN</t>
  </si>
  <si>
    <t>Höhe</t>
  </si>
  <si>
    <t>g</t>
  </si>
  <si>
    <t>Ansicht eines Grabdenkmales:</t>
  </si>
  <si>
    <t>m</t>
  </si>
  <si>
    <t xml:space="preserve"> *)</t>
  </si>
  <si>
    <t xml:space="preserve"> </t>
  </si>
  <si>
    <t>Legende zur Dübelauswahl</t>
  </si>
  <si>
    <t xml:space="preserve"> - </t>
  </si>
  <si>
    <t>kein Dübel erforderlich</t>
  </si>
  <si>
    <r>
      <t>G</t>
    </r>
    <r>
      <rPr>
        <vertAlign val="subscript"/>
        <sz val="8"/>
        <rFont val="Arial"/>
        <family val="2"/>
      </rPr>
      <t>1</t>
    </r>
  </si>
  <si>
    <r>
      <t>N</t>
    </r>
    <r>
      <rPr>
        <vertAlign val="subscript"/>
        <sz val="8"/>
        <rFont val="Arial"/>
        <family val="2"/>
      </rPr>
      <t xml:space="preserve">1 </t>
    </r>
    <r>
      <rPr>
        <sz val="8"/>
        <rFont val="Arial"/>
        <family val="2"/>
      </rPr>
      <t>= G</t>
    </r>
    <r>
      <rPr>
        <vertAlign val="subscript"/>
        <sz val="8"/>
        <rFont val="Arial"/>
        <family val="2"/>
      </rPr>
      <t xml:space="preserve">1 </t>
    </r>
    <r>
      <rPr>
        <sz val="8"/>
        <rFont val="Arial"/>
        <family val="2"/>
      </rPr>
      <t>=</t>
    </r>
  </si>
  <si>
    <r>
      <t>W</t>
    </r>
    <r>
      <rPr>
        <vertAlign val="subscript"/>
        <sz val="8"/>
        <rFont val="Arial"/>
        <family val="2"/>
      </rPr>
      <t xml:space="preserve">1 </t>
    </r>
  </si>
  <si>
    <t>125 - 490</t>
  </si>
  <si>
    <t>erforderliche Dübellänge in "mm"</t>
  </si>
  <si>
    <r>
      <t>G</t>
    </r>
    <r>
      <rPr>
        <vertAlign val="subscript"/>
        <sz val="8"/>
        <rFont val="Arial"/>
        <family val="2"/>
      </rPr>
      <t>2</t>
    </r>
  </si>
  <si>
    <r>
      <t>N</t>
    </r>
    <r>
      <rPr>
        <vertAlign val="subscript"/>
        <sz val="8"/>
        <rFont val="Arial"/>
        <family val="2"/>
      </rPr>
      <t xml:space="preserve">2 </t>
    </r>
    <r>
      <rPr>
        <sz val="8"/>
        <rFont val="Arial"/>
        <family val="2"/>
      </rPr>
      <t>= G</t>
    </r>
    <r>
      <rPr>
        <vertAlign val="subscript"/>
        <sz val="8"/>
        <rFont val="Arial"/>
        <family val="2"/>
      </rPr>
      <t xml:space="preserve">1 </t>
    </r>
    <r>
      <rPr>
        <sz val="8"/>
        <rFont val="Arial"/>
        <family val="2"/>
      </rPr>
      <t>+ G</t>
    </r>
    <r>
      <rPr>
        <vertAlign val="subscript"/>
        <sz val="8"/>
        <rFont val="Arial"/>
        <family val="2"/>
      </rPr>
      <t xml:space="preserve">2 </t>
    </r>
    <r>
      <rPr>
        <sz val="8"/>
        <rFont val="Arial"/>
        <family val="2"/>
      </rPr>
      <t>=</t>
    </r>
  </si>
  <si>
    <r>
      <t>W</t>
    </r>
    <r>
      <rPr>
        <vertAlign val="subscript"/>
        <sz val="8"/>
        <rFont val="Arial"/>
        <family val="2"/>
      </rPr>
      <t>2</t>
    </r>
  </si>
  <si>
    <t>N</t>
  </si>
  <si>
    <t>dieser Dübel ist nicht möglich</t>
  </si>
  <si>
    <t>Ermittlung</t>
  </si>
  <si>
    <t>Eigen-</t>
  </si>
  <si>
    <t>Wind</t>
  </si>
  <si>
    <t>D  ü  b  e  l  a  u  s  w  a  h  l</t>
  </si>
  <si>
    <t xml:space="preserve">der </t>
  </si>
  <si>
    <t>gewicht</t>
  </si>
  <si>
    <t>STK.</t>
  </si>
  <si>
    <t>Dübelkräfte</t>
  </si>
  <si>
    <t>max</t>
  </si>
  <si>
    <t>Dim.</t>
  </si>
  <si>
    <t>f</t>
  </si>
  <si>
    <t>Umfang</t>
  </si>
  <si>
    <t>FUGE  1:</t>
  </si>
  <si>
    <t>KNm</t>
  </si>
  <si>
    <t>i  n    F  u  g  e    1</t>
  </si>
  <si>
    <r>
      <t xml:space="preserve">M </t>
    </r>
    <r>
      <rPr>
        <vertAlign val="subscript"/>
        <sz val="8"/>
        <rFont val="Arial"/>
        <family val="2"/>
      </rPr>
      <t>Dü</t>
    </r>
    <r>
      <rPr>
        <sz val="8"/>
        <rFont val="Arial"/>
        <family val="2"/>
      </rPr>
      <t xml:space="preserve"> =</t>
    </r>
  </si>
  <si>
    <r>
      <t>e</t>
    </r>
    <r>
      <rPr>
        <vertAlign val="subscript"/>
        <sz val="7"/>
        <rFont val="Arial"/>
        <family val="2"/>
      </rPr>
      <t>1</t>
    </r>
    <r>
      <rPr>
        <sz val="7"/>
        <rFont val="Arial"/>
        <family val="2"/>
      </rPr>
      <t xml:space="preserve"> / D</t>
    </r>
    <r>
      <rPr>
        <vertAlign val="subscript"/>
        <sz val="7"/>
        <rFont val="Arial"/>
        <family val="2"/>
      </rPr>
      <t>1</t>
    </r>
    <r>
      <rPr>
        <sz val="7"/>
        <rFont val="Arial"/>
        <family val="2"/>
      </rPr>
      <t xml:space="preserve"> =</t>
    </r>
  </si>
  <si>
    <r>
      <t xml:space="preserve">Z </t>
    </r>
    <r>
      <rPr>
        <vertAlign val="subscript"/>
        <sz val="8"/>
        <rFont val="Arial"/>
        <family val="2"/>
      </rPr>
      <t>Dübel</t>
    </r>
    <r>
      <rPr>
        <sz val="8"/>
        <rFont val="Arial"/>
        <family val="2"/>
      </rPr>
      <t xml:space="preserve"> =</t>
    </r>
  </si>
  <si>
    <r>
      <t>M</t>
    </r>
    <r>
      <rPr>
        <vertAlign val="subscript"/>
        <sz val="8"/>
        <rFont val="Arial"/>
        <family val="2"/>
      </rPr>
      <t>Dü</t>
    </r>
    <r>
      <rPr>
        <sz val="8"/>
        <rFont val="Arial"/>
        <family val="2"/>
      </rPr>
      <t xml:space="preserve"> / (D</t>
    </r>
    <r>
      <rPr>
        <vertAlign val="subscript"/>
        <sz val="8"/>
        <rFont val="Arial"/>
        <family val="2"/>
      </rPr>
      <t xml:space="preserve">1 </t>
    </r>
    <r>
      <rPr>
        <sz val="8"/>
        <rFont val="Arial"/>
        <family val="2"/>
      </rPr>
      <t>/ 2) =</t>
    </r>
  </si>
  <si>
    <t>FUGE  2:</t>
  </si>
  <si>
    <t>erf. Dübellängen ( = 2x die Einbindelg.) in "mm" + Fuge 5mm</t>
  </si>
  <si>
    <t>Mindestdübellänge = 2x 60mm + 5mm Fuge = 125mm</t>
  </si>
  <si>
    <t>i  n    F  u  g  e    2</t>
  </si>
  <si>
    <r>
      <t xml:space="preserve">M </t>
    </r>
    <r>
      <rPr>
        <vertAlign val="subscript"/>
        <sz val="8"/>
        <rFont val="Arial"/>
        <family val="2"/>
      </rPr>
      <t>Dübel</t>
    </r>
    <r>
      <rPr>
        <sz val="8"/>
        <rFont val="Arial"/>
        <family val="2"/>
      </rPr>
      <t xml:space="preserve"> =</t>
    </r>
  </si>
  <si>
    <r>
      <t>e</t>
    </r>
    <r>
      <rPr>
        <vertAlign val="subscript"/>
        <sz val="7"/>
        <rFont val="Arial"/>
        <family val="2"/>
      </rPr>
      <t>2</t>
    </r>
    <r>
      <rPr>
        <sz val="7"/>
        <rFont val="Arial"/>
        <family val="2"/>
      </rPr>
      <t xml:space="preserve"> / D</t>
    </r>
    <r>
      <rPr>
        <vertAlign val="subscript"/>
        <sz val="7"/>
        <rFont val="Arial"/>
        <family val="2"/>
      </rPr>
      <t>2</t>
    </r>
    <r>
      <rPr>
        <sz val="7"/>
        <rFont val="Arial"/>
        <family val="2"/>
      </rPr>
      <t xml:space="preserve"> =</t>
    </r>
  </si>
  <si>
    <r>
      <t>M</t>
    </r>
    <r>
      <rPr>
        <vertAlign val="subscript"/>
        <sz val="8"/>
        <rFont val="Arial"/>
        <family val="2"/>
      </rPr>
      <t>Dü</t>
    </r>
    <r>
      <rPr>
        <sz val="8"/>
        <rFont val="Arial"/>
        <family val="2"/>
      </rPr>
      <t xml:space="preserve"> / (D</t>
    </r>
    <r>
      <rPr>
        <vertAlign val="subscript"/>
        <sz val="8"/>
        <rFont val="Arial"/>
        <family val="2"/>
      </rPr>
      <t xml:space="preserve">2 </t>
    </r>
    <r>
      <rPr>
        <sz val="8"/>
        <rFont val="Arial"/>
        <family val="2"/>
      </rPr>
      <t>/ 2) =</t>
    </r>
  </si>
  <si>
    <t xml:space="preserve">Die Grundlagen hinsichtlich Stahl, Mörtel, Bohrlöchern, Verbund, Verguß, etc., </t>
  </si>
  <si>
    <t>welche diese Berechnung voraussetzt, sind im Erläuterungsblatt angeführt.</t>
  </si>
  <si>
    <t>Erläuterungsblatt 1 von 3</t>
  </si>
  <si>
    <t>Beschreibung des Grabdenkmales:</t>
  </si>
  <si>
    <t>Seitenansicht eines Grabdenkmales:</t>
  </si>
  <si>
    <t>Hauptansicht eines Grabdenkmales:</t>
  </si>
  <si>
    <t>Grabstein</t>
  </si>
  <si>
    <t>Sockel</t>
  </si>
  <si>
    <t>Einfassung</t>
  </si>
  <si>
    <t>Geländeoberkante</t>
  </si>
  <si>
    <t>Berechnungsbreite</t>
  </si>
  <si>
    <t>Die Berechnungsbreite wurde für alle Teile des Grabdenkmales</t>
  </si>
  <si>
    <t>einheitlich gewählt, seitliche Überstände sind nach unten</t>
  </si>
  <si>
    <t>anwachsend möglich, andere Formen (z.B. Sockel schmäler als</t>
  </si>
  <si>
    <t>der Grabstein, ...) sind gesondert nachzuweisen.</t>
  </si>
  <si>
    <t>Grundsätzliches zum Programm:</t>
  </si>
  <si>
    <r>
      <t xml:space="preserve">Wichtige Zahlen und Hinweise sind in </t>
    </r>
    <r>
      <rPr>
        <b/>
        <sz val="10"/>
        <rFont val="Arial"/>
        <family val="2"/>
      </rPr>
      <t>Fettschrift</t>
    </r>
    <r>
      <rPr>
        <sz val="10"/>
        <rFont val="Arial"/>
        <family val="2"/>
      </rPr>
      <t xml:space="preserve"> dargestellt, und zwar:</t>
    </r>
  </si>
  <si>
    <r>
      <t>EINGABE</t>
    </r>
    <r>
      <rPr>
        <sz val="10"/>
        <rFont val="Arial"/>
        <family val="2"/>
      </rPr>
      <t xml:space="preserve">   - Schrift in rot</t>
    </r>
  </si>
  <si>
    <t>Eingabe von Geometrie und Belastung</t>
  </si>
  <si>
    <r>
      <t>ERGEBNIS</t>
    </r>
    <r>
      <rPr>
        <sz val="10"/>
        <rFont val="Arial"/>
        <family val="2"/>
      </rPr>
      <t xml:space="preserve"> - Schrift in blau</t>
    </r>
  </si>
  <si>
    <t>Ausgabe der Dübelkräfte</t>
  </si>
  <si>
    <r>
      <t>WARNHINWEISE</t>
    </r>
    <r>
      <rPr>
        <sz val="10"/>
        <rFont val="Arial"/>
        <family val="2"/>
      </rPr>
      <t xml:space="preserve"> - in cyan</t>
    </r>
  </si>
  <si>
    <t>Wenn sich Eingabewerte außerhalb des Gültigkeits-</t>
  </si>
  <si>
    <t>bereiches befinden (mit Angabe des Fehlergrundes)</t>
  </si>
  <si>
    <t>Folgende Programmgrenzen</t>
  </si>
  <si>
    <t>Höhen</t>
  </si>
  <si>
    <r>
      <t>H</t>
    </r>
    <r>
      <rPr>
        <vertAlign val="subscript"/>
        <sz val="10"/>
        <rFont val="Arial"/>
        <family val="2"/>
      </rPr>
      <t xml:space="preserve"> 1</t>
    </r>
  </si>
  <si>
    <t>wurden gesetzt:</t>
  </si>
  <si>
    <r>
      <t>H</t>
    </r>
    <r>
      <rPr>
        <vertAlign val="subscript"/>
        <sz val="10"/>
        <rFont val="Arial"/>
        <family val="2"/>
      </rPr>
      <t xml:space="preserve"> 2</t>
    </r>
  </si>
  <si>
    <r>
      <t>H</t>
    </r>
    <r>
      <rPr>
        <vertAlign val="subscript"/>
        <sz val="10"/>
        <rFont val="Arial"/>
        <family val="2"/>
      </rPr>
      <t xml:space="preserve"> 3</t>
    </r>
  </si>
  <si>
    <t>Breite</t>
  </si>
  <si>
    <r>
      <t>B</t>
    </r>
    <r>
      <rPr>
        <vertAlign val="subscript"/>
        <sz val="10"/>
        <rFont val="Arial"/>
        <family val="2"/>
      </rPr>
      <t xml:space="preserve"> 1</t>
    </r>
  </si>
  <si>
    <t>Dicken</t>
  </si>
  <si>
    <r>
      <t>D</t>
    </r>
    <r>
      <rPr>
        <vertAlign val="subscript"/>
        <sz val="10"/>
        <rFont val="Arial"/>
        <family val="2"/>
      </rPr>
      <t xml:space="preserve"> 1</t>
    </r>
  </si>
  <si>
    <r>
      <t>D</t>
    </r>
    <r>
      <rPr>
        <vertAlign val="subscript"/>
        <sz val="10"/>
        <rFont val="Arial"/>
        <family val="2"/>
      </rPr>
      <t xml:space="preserve"> 2</t>
    </r>
  </si>
  <si>
    <t>Spez. Gewicht</t>
  </si>
  <si>
    <t xml:space="preserve">g </t>
  </si>
  <si>
    <t>von 1000 bis 3500 kg/m³</t>
  </si>
  <si>
    <t>Geländeform</t>
  </si>
  <si>
    <t>Grundsätzlich wurde der Standsicherheitsnachweis in den Fugen 1 und 2 geführt, der Nachweis der</t>
  </si>
  <si>
    <t xml:space="preserve">Fuge 3 (= Fundierungssohle) ist je nach Bauart gesondert nachzuweisen. </t>
  </si>
  <si>
    <t>Erläuterungsblatt 2 von 3</t>
  </si>
  <si>
    <t>VORAUSSETZUNGEN FÜR BERECHNUNG UND AUSFÜHRUNG</t>
  </si>
  <si>
    <t>Bauteilen in den jeweiligen Fugen. Andere Tragwirkungen oder ungeeignete Verdübelungen können</t>
  </si>
  <si>
    <t>damit nicht erfaßt werden.</t>
  </si>
  <si>
    <t>zum verläßlichen Erreichen dieses Wertes sind einzuhalten. Dieser Wert gilt sowohl für das Haften des</t>
  </si>
  <si>
    <t xml:space="preserve">Dübels am Vergußmörtel als auch für das Haften dieses Vergußmörtels am Bohrloch! </t>
  </si>
  <si>
    <t>Die Vermörtelung ist auf die gesamte Dübellänge sicherzustellen.</t>
  </si>
  <si>
    <t xml:space="preserve"> ---  Vollständig gereinigtes bzw. staubfreies Bohrloch und entsprechende Rauhigkeit der Oberfläche</t>
  </si>
  <si>
    <t xml:space="preserve">      Die Verwendung von schwindfreien Zementen ist zu empfehlen.</t>
  </si>
  <si>
    <t xml:space="preserve">      Die Korngröße des Zuschlagstoffes soll max. 0/1 mm sein. Um eine einwandfreie Vermörtelung zu</t>
  </si>
  <si>
    <t xml:space="preserve">      erreichen, ist diese mit dem jeweils oberen Bauteil zuerst durchzuführen, nach ausreichendem Aus-</t>
  </si>
  <si>
    <t xml:space="preserve">      härten ist der obere Bauteil mit den Dübeln in den mit Mörtel vorbereiteten unteren Bauteil einzubauen.</t>
  </si>
  <si>
    <t xml:space="preserve"> ---  Der Dübelachsabstand muss mindestens das 1,5-fache der Dübeleinbindelänge sein.</t>
  </si>
  <si>
    <t xml:space="preserve"> ---  Die Dübeldurchmesser (Bohrlochdurchmesser) sind derart auszuwählen, dass diese mit dem</t>
  </si>
  <si>
    <t xml:space="preserve">      Werkstoff (Steindicke, Homogenität, etc.) verträglich sein. Die im Programm theoretisch ermöglichte</t>
  </si>
  <si>
    <t xml:space="preserve">      Verwendung von Dübeln großen Durchmessers in dünnen Steinen ersetzt nicht die diesbezügliche</t>
  </si>
  <si>
    <t xml:space="preserve">      Beurteilung des Ausführenden!</t>
  </si>
  <si>
    <t>Erläuterungsblatt 3 von 3</t>
  </si>
  <si>
    <t>Definition der Kippsicherheit:</t>
  </si>
  <si>
    <t>Kippsicherheit</t>
  </si>
  <si>
    <r>
      <t>n</t>
    </r>
    <r>
      <rPr>
        <sz val="10"/>
        <rFont val="Arial"/>
        <family val="2"/>
      </rPr>
      <t xml:space="preserve"> = 1,5</t>
    </r>
  </si>
  <si>
    <t>Resultierende im "erweiterten Kern"</t>
  </si>
  <si>
    <r>
      <t>n</t>
    </r>
    <r>
      <rPr>
        <sz val="10"/>
        <rFont val="Arial"/>
        <family val="2"/>
      </rPr>
      <t xml:space="preserve"> = 3,0</t>
    </r>
  </si>
  <si>
    <t>Resultierende "im Kern"</t>
  </si>
  <si>
    <t>FUGE 1:</t>
  </si>
  <si>
    <t>Bezogen auf den Schwerpunkt</t>
  </si>
  <si>
    <r>
      <t xml:space="preserve">G </t>
    </r>
    <r>
      <rPr>
        <vertAlign val="subscript"/>
        <sz val="8"/>
        <rFont val="Arial"/>
        <family val="2"/>
      </rPr>
      <t>1</t>
    </r>
    <r>
      <rPr>
        <sz val="8"/>
        <rFont val="Arial"/>
        <family val="2"/>
      </rPr>
      <t xml:space="preserve"> =</t>
    </r>
  </si>
  <si>
    <t>der Aufstandfläche</t>
  </si>
  <si>
    <r>
      <t xml:space="preserve">V </t>
    </r>
    <r>
      <rPr>
        <vertAlign val="subscript"/>
        <sz val="8"/>
        <rFont val="Arial"/>
        <family val="2"/>
      </rPr>
      <t>s</t>
    </r>
    <r>
      <rPr>
        <sz val="8"/>
        <rFont val="Arial"/>
        <family val="2"/>
      </rPr>
      <t xml:space="preserve"> =</t>
    </r>
  </si>
  <si>
    <r>
      <t>g</t>
    </r>
    <r>
      <rPr>
        <sz val="8"/>
        <rFont val="Arial"/>
        <family val="2"/>
      </rPr>
      <t xml:space="preserve"> =</t>
    </r>
  </si>
  <si>
    <r>
      <t>e / D</t>
    </r>
    <r>
      <rPr>
        <vertAlign val="subscript"/>
        <sz val="8"/>
        <rFont val="Arial"/>
        <family val="2"/>
      </rPr>
      <t>1</t>
    </r>
    <r>
      <rPr>
        <sz val="8"/>
        <rFont val="Arial"/>
        <family val="2"/>
      </rPr>
      <t xml:space="preserve"> =</t>
    </r>
  </si>
  <si>
    <t>&lt;</t>
  </si>
  <si>
    <t>A</t>
  </si>
  <si>
    <t>Bezogen auf den vorderen</t>
  </si>
  <si>
    <r>
      <t xml:space="preserve">M </t>
    </r>
    <r>
      <rPr>
        <vertAlign val="subscript"/>
        <sz val="8"/>
        <rFont val="Arial"/>
        <family val="2"/>
      </rPr>
      <t>KIPP</t>
    </r>
    <r>
      <rPr>
        <sz val="8"/>
        <rFont val="Arial"/>
        <family val="2"/>
      </rPr>
      <t xml:space="preserve"> = M </t>
    </r>
    <r>
      <rPr>
        <vertAlign val="subscript"/>
        <sz val="8"/>
        <rFont val="Arial"/>
        <family val="2"/>
      </rPr>
      <t>A</t>
    </r>
    <r>
      <rPr>
        <sz val="8"/>
        <rFont val="Arial"/>
        <family val="2"/>
      </rPr>
      <t xml:space="preserve"> =</t>
    </r>
  </si>
  <si>
    <t>S</t>
  </si>
  <si>
    <t>Kipp-Punkt der Aufstandsfläche</t>
  </si>
  <si>
    <r>
      <t xml:space="preserve">M </t>
    </r>
    <r>
      <rPr>
        <vertAlign val="subscript"/>
        <sz val="8"/>
        <rFont val="Arial"/>
        <family val="2"/>
      </rPr>
      <t>stand</t>
    </r>
    <r>
      <rPr>
        <sz val="8"/>
        <rFont val="Arial"/>
        <family val="2"/>
      </rPr>
      <t xml:space="preserve"> =</t>
    </r>
  </si>
  <si>
    <t>FUGE 2:</t>
  </si>
  <si>
    <r>
      <t xml:space="preserve">G 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 xml:space="preserve"> =</t>
    </r>
  </si>
  <si>
    <r>
      <t xml:space="preserve">M </t>
    </r>
    <r>
      <rPr>
        <vertAlign val="subscript"/>
        <sz val="8"/>
        <rFont val="Arial"/>
        <family val="2"/>
      </rPr>
      <t>G1</t>
    </r>
    <r>
      <rPr>
        <sz val="8"/>
        <rFont val="Arial"/>
        <family val="2"/>
      </rPr>
      <t xml:space="preserve"> =</t>
    </r>
  </si>
  <si>
    <t>V s =</t>
  </si>
  <si>
    <r>
      <t>e / D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 xml:space="preserve"> =</t>
    </r>
  </si>
  <si>
    <t>Sobald die Dübelkräfte in der Berechnung als "&lt; 0" ausgewiesen werden, ist die Kippsicherheit von 1,5</t>
  </si>
  <si>
    <t>auch ohne Verdübelung gegeben, die Dübelauswahl fordert dann keine Mindestdübellänge ( " - " ).</t>
  </si>
  <si>
    <r>
      <t xml:space="preserve">Sobald die maximale Dübellänge von 490mm bei einem bestimmten   </t>
    </r>
    <r>
      <rPr>
        <sz val="10"/>
        <rFont val="Symbol"/>
        <family val="1"/>
        <charset val="2"/>
      </rPr>
      <t>f</t>
    </r>
    <r>
      <rPr>
        <sz val="10"/>
        <rFont val="Arial"/>
        <family val="2"/>
      </rPr>
      <t xml:space="preserve">   Dübeldurchmesser</t>
    </r>
  </si>
  <si>
    <t>überschritten ist, erscheint die Anmerkung "N" (dieser Dübel ist nicht möglich, ein stärkerer ist</t>
  </si>
  <si>
    <t>daher zu verwenden).</t>
  </si>
  <si>
    <t>Arbeitsblatt</t>
  </si>
  <si>
    <t xml:space="preserve">für Rippen- bzw. Gewindestähle </t>
  </si>
  <si>
    <t xml:space="preserve"> = a</t>
  </si>
  <si>
    <r>
      <t xml:space="preserve">  D</t>
    </r>
    <r>
      <rPr>
        <vertAlign val="subscript"/>
        <sz val="10"/>
        <rFont val="Arial"/>
        <family val="2"/>
      </rPr>
      <t>1</t>
    </r>
  </si>
  <si>
    <r>
      <t xml:space="preserve">  D</t>
    </r>
    <r>
      <rPr>
        <vertAlign val="subscript"/>
        <sz val="10"/>
        <rFont val="Arial"/>
        <family val="2"/>
      </rPr>
      <t>2</t>
    </r>
  </si>
  <si>
    <t>Schema der Dübelanordnung:</t>
  </si>
  <si>
    <r>
      <t xml:space="preserve">L </t>
    </r>
    <r>
      <rPr>
        <vertAlign val="subscript"/>
        <sz val="10"/>
        <rFont val="Arial"/>
        <family val="2"/>
      </rPr>
      <t>oben</t>
    </r>
  </si>
  <si>
    <r>
      <t xml:space="preserve"> L </t>
    </r>
    <r>
      <rPr>
        <vertAlign val="subscript"/>
        <sz val="10"/>
        <rFont val="Arial"/>
        <family val="2"/>
      </rPr>
      <t>gesamt</t>
    </r>
  </si>
  <si>
    <r>
      <t xml:space="preserve">L </t>
    </r>
    <r>
      <rPr>
        <vertAlign val="subscript"/>
        <sz val="10"/>
        <rFont val="Arial"/>
        <family val="2"/>
      </rPr>
      <t>unten</t>
    </r>
  </si>
  <si>
    <t>Berechnungsergebnisse:</t>
  </si>
  <si>
    <t>Schnittgrößen und Dübelkräfte:</t>
  </si>
  <si>
    <t>in Fuge 1</t>
  </si>
  <si>
    <r>
      <t xml:space="preserve">L </t>
    </r>
    <r>
      <rPr>
        <vertAlign val="subscript"/>
        <sz val="10"/>
        <rFont val="Arial"/>
        <family val="2"/>
      </rPr>
      <t>oben, unten</t>
    </r>
  </si>
  <si>
    <t>Einbindelängen des Dübels (oben bzw. unten)</t>
  </si>
  <si>
    <r>
      <t xml:space="preserve">M </t>
    </r>
    <r>
      <rPr>
        <vertAlign val="subscript"/>
        <sz val="8"/>
        <color indexed="8"/>
        <rFont val="Arial"/>
        <family val="2"/>
      </rPr>
      <t>Düb.</t>
    </r>
    <r>
      <rPr>
        <sz val="8"/>
        <color indexed="8"/>
        <rFont val="Arial"/>
        <family val="2"/>
      </rPr>
      <t xml:space="preserve"> </t>
    </r>
  </si>
  <si>
    <r>
      <t xml:space="preserve">L´ </t>
    </r>
    <r>
      <rPr>
        <vertAlign val="subscript"/>
        <sz val="10"/>
        <rFont val="Arial"/>
        <family val="2"/>
      </rPr>
      <t>oben, unten</t>
    </r>
  </si>
  <si>
    <t>Bohrlochlänge = Dübeleinbindelänge + 2mm</t>
  </si>
  <si>
    <r>
      <t xml:space="preserve">Z </t>
    </r>
    <r>
      <rPr>
        <vertAlign val="subscript"/>
        <sz val="8"/>
        <color indexed="8"/>
        <rFont val="Arial"/>
        <family val="2"/>
      </rPr>
      <t>Dübel</t>
    </r>
  </si>
  <si>
    <t>Dübelanzahl und Dübeldurchmesser</t>
  </si>
  <si>
    <t>in Fuge 2</t>
  </si>
  <si>
    <t xml:space="preserve"> f  19</t>
  </si>
  <si>
    <t>Bohrlochdurchmesser = Dübeldurchm. + (2 - 5) mm</t>
  </si>
  <si>
    <t>Für die Verbindung von Dübel zu Beton wurde bei sorgfältig</t>
  </si>
  <si>
    <r>
      <t xml:space="preserve">M </t>
    </r>
    <r>
      <rPr>
        <vertAlign val="subscript"/>
        <sz val="8"/>
        <color indexed="8"/>
        <rFont val="Arial"/>
        <family val="2"/>
      </rPr>
      <t>Düb.</t>
    </r>
  </si>
  <si>
    <t>2, 3 oder 4</t>
  </si>
  <si>
    <t>Basisgeschwindigkeitsdruck</t>
  </si>
  <si>
    <t>kN / m²</t>
  </si>
  <si>
    <t>kN / m³</t>
  </si>
  <si>
    <t>0,19 - 0,50 kN/m²</t>
  </si>
  <si>
    <t>10 - 35 kN/m³</t>
  </si>
  <si>
    <t>diese  wird  für   GF II   mit</t>
  </si>
  <si>
    <t xml:space="preserve">Beiw. = </t>
  </si>
  <si>
    <t>kN/m²</t>
  </si>
  <si>
    <r>
      <t>q</t>
    </r>
    <r>
      <rPr>
        <vertAlign val="subscript"/>
        <sz val="8"/>
        <rFont val="Arial"/>
        <family val="2"/>
      </rPr>
      <t>b</t>
    </r>
    <r>
      <rPr>
        <sz val="8"/>
        <rFont val="Arial"/>
        <family val="2"/>
      </rPr>
      <t xml:space="preserve"> =</t>
    </r>
  </si>
  <si>
    <r>
      <t xml:space="preserve">Bereich A:  c </t>
    </r>
    <r>
      <rPr>
        <vertAlign val="subscript"/>
        <sz val="8"/>
        <rFont val="Arial"/>
        <family val="2"/>
      </rPr>
      <t>p,net,A</t>
    </r>
    <r>
      <rPr>
        <sz val="8"/>
        <rFont val="Arial"/>
        <family val="2"/>
      </rPr>
      <t xml:space="preserve">  = </t>
    </r>
  </si>
  <si>
    <r>
      <t xml:space="preserve">Bereich B:  c </t>
    </r>
    <r>
      <rPr>
        <vertAlign val="subscript"/>
        <sz val="8"/>
        <rFont val="Arial"/>
        <family val="2"/>
      </rPr>
      <t>p,net,B</t>
    </r>
    <r>
      <rPr>
        <sz val="8"/>
        <rFont val="Arial"/>
        <family val="2"/>
      </rPr>
      <t xml:space="preserve">  = </t>
    </r>
  </si>
  <si>
    <r>
      <t>z</t>
    </r>
    <r>
      <rPr>
        <vertAlign val="subscript"/>
        <sz val="8"/>
        <rFont val="Arial"/>
        <family val="2"/>
      </rPr>
      <t>min</t>
    </r>
    <r>
      <rPr>
        <sz val="8"/>
        <rFont val="Arial"/>
        <family val="2"/>
      </rPr>
      <t xml:space="preserve"> =</t>
    </r>
  </si>
  <si>
    <t>Windbeiwerte nach ÖNORM B 1991-1-4</t>
  </si>
  <si>
    <t>m, GF III  mit</t>
  </si>
  <si>
    <t xml:space="preserve">GF IV mit </t>
  </si>
  <si>
    <t>m   angesetzt.</t>
  </si>
  <si>
    <t>m   und</t>
  </si>
  <si>
    <t>G e w i c h t e   i n   k N</t>
  </si>
  <si>
    <t>Wind in kN</t>
  </si>
  <si>
    <r>
      <t>w</t>
    </r>
    <r>
      <rPr>
        <vertAlign val="subscript"/>
        <sz val="8"/>
        <rFont val="Arial"/>
        <family val="2"/>
      </rPr>
      <t xml:space="preserve"> Ed</t>
    </r>
    <r>
      <rPr>
        <sz val="8"/>
        <rFont val="Arial"/>
        <family val="2"/>
      </rPr>
      <t>,</t>
    </r>
    <r>
      <rPr>
        <vertAlign val="subscript"/>
        <sz val="8"/>
        <rFont val="Arial"/>
        <family val="2"/>
      </rPr>
      <t>A</t>
    </r>
    <r>
      <rPr>
        <sz val="8"/>
        <rFont val="Arial"/>
        <family val="2"/>
      </rPr>
      <t xml:space="preserve"> = q</t>
    </r>
    <r>
      <rPr>
        <vertAlign val="subscript"/>
        <sz val="8"/>
        <rFont val="Arial"/>
        <family val="2"/>
      </rPr>
      <t>b</t>
    </r>
    <r>
      <rPr>
        <sz val="8"/>
        <rFont val="Arial"/>
        <family val="2"/>
      </rPr>
      <t xml:space="preserve"> * c</t>
    </r>
    <r>
      <rPr>
        <vertAlign val="subscript"/>
        <sz val="8"/>
        <rFont val="Arial"/>
        <family val="2"/>
      </rPr>
      <t xml:space="preserve"> p,net,A</t>
    </r>
    <r>
      <rPr>
        <sz val="8"/>
        <rFont val="Arial"/>
        <family val="2"/>
      </rPr>
      <t xml:space="preserve"> * </t>
    </r>
    <r>
      <rPr>
        <sz val="8"/>
        <rFont val="Times New Roman"/>
        <family val="1"/>
      </rPr>
      <t>y</t>
    </r>
    <r>
      <rPr>
        <vertAlign val="subscript"/>
        <sz val="8"/>
        <rFont val="Arial"/>
        <family val="2"/>
      </rPr>
      <t>Q,1</t>
    </r>
    <r>
      <rPr>
        <sz val="8"/>
        <rFont val="Arial"/>
        <family val="2"/>
      </rPr>
      <t xml:space="preserve">= </t>
    </r>
  </si>
  <si>
    <r>
      <t xml:space="preserve">w </t>
    </r>
    <r>
      <rPr>
        <vertAlign val="subscript"/>
        <sz val="8"/>
        <rFont val="Arial"/>
        <family val="2"/>
      </rPr>
      <t>Ed,B</t>
    </r>
    <r>
      <rPr>
        <sz val="8"/>
        <rFont val="Arial"/>
        <family val="2"/>
      </rPr>
      <t xml:space="preserve"> = q</t>
    </r>
    <r>
      <rPr>
        <vertAlign val="subscript"/>
        <sz val="8"/>
        <rFont val="Arial"/>
        <family val="2"/>
      </rPr>
      <t>b</t>
    </r>
    <r>
      <rPr>
        <sz val="8"/>
        <rFont val="Arial"/>
        <family val="2"/>
      </rPr>
      <t xml:space="preserve"> * c </t>
    </r>
    <r>
      <rPr>
        <vertAlign val="subscript"/>
        <sz val="8"/>
        <rFont val="Arial"/>
        <family val="2"/>
      </rPr>
      <t>p,net,B</t>
    </r>
    <r>
      <rPr>
        <sz val="8"/>
        <rFont val="Arial"/>
        <family val="2"/>
      </rPr>
      <t xml:space="preserve"> * </t>
    </r>
    <r>
      <rPr>
        <sz val="8"/>
        <rFont val="Times New Roman"/>
        <family val="1"/>
      </rPr>
      <t>y</t>
    </r>
    <r>
      <rPr>
        <vertAlign val="subscript"/>
        <sz val="8"/>
        <rFont val="Arial"/>
        <family val="2"/>
      </rPr>
      <t>Q,1</t>
    </r>
    <r>
      <rPr>
        <sz val="8"/>
        <rFont val="Arial"/>
        <family val="2"/>
      </rPr>
      <t xml:space="preserve">= </t>
    </r>
  </si>
  <si>
    <r>
      <rPr>
        <sz val="8"/>
        <rFont val="Times New Roman"/>
        <family val="1"/>
      </rPr>
      <t>y</t>
    </r>
    <r>
      <rPr>
        <vertAlign val="subscript"/>
        <sz val="8"/>
        <rFont val="Arial"/>
        <family val="2"/>
      </rPr>
      <t xml:space="preserve">Q,1 </t>
    </r>
    <r>
      <rPr>
        <sz val="8"/>
        <rFont val="Arial"/>
        <family val="2"/>
      </rPr>
      <t xml:space="preserve">= </t>
    </r>
  </si>
  <si>
    <t>überarbeitet von</t>
  </si>
  <si>
    <t>Dipl.Ing. M. Steinbrecher</t>
  </si>
  <si>
    <t>2, 3 und 4</t>
  </si>
  <si>
    <t>Die Basisgeschwindigkeitsdrücke in den einzelnen Orte sind geordnet nach Bundesländern den Tabellen</t>
  </si>
  <si>
    <t>der ÖNORM B 1991-1-4 zu entnehmen, wobei die Geländeform II nach ÖNORM EN 1991-1-4 Tabelle 4.1</t>
  </si>
  <si>
    <t>bei Gebieten mit niedriger Vegetation wie Gras und einzelne Hindernisse (Bäume, Gebäude) mit</t>
  </si>
  <si>
    <t>Abständen von min. 20-facher Hindernishöhe anzuwenden ist (sonst Geländeform III oder IV).</t>
  </si>
  <si>
    <t>kN/m</t>
  </si>
  <si>
    <t xml:space="preserve">b = </t>
  </si>
  <si>
    <t>kN</t>
  </si>
  <si>
    <t>kNm</t>
  </si>
  <si>
    <t>b =</t>
  </si>
  <si>
    <t>q b,0</t>
  </si>
  <si>
    <r>
      <rPr>
        <sz val="10"/>
        <rFont val="Arial"/>
        <family val="2"/>
      </rPr>
      <t>q</t>
    </r>
    <r>
      <rPr>
        <vertAlign val="subscript"/>
        <sz val="10"/>
        <rFont val="Arial"/>
        <family val="2"/>
      </rPr>
      <t xml:space="preserve"> b,0</t>
    </r>
  </si>
  <si>
    <t>von 0,19 bis 0,50 kN/m²</t>
  </si>
  <si>
    <t>von 30 bis 140 cm</t>
  </si>
  <si>
    <t>abhängig von der Grabsteinbreite</t>
  </si>
  <si>
    <t xml:space="preserve">kN/m </t>
  </si>
  <si>
    <t>DI M. Steinbrecher</t>
  </si>
  <si>
    <r>
      <t>M</t>
    </r>
    <r>
      <rPr>
        <vertAlign val="subscript"/>
        <sz val="10"/>
        <rFont val="Arial"/>
        <family val="2"/>
      </rPr>
      <t>1,Ed</t>
    </r>
  </si>
  <si>
    <r>
      <t>N</t>
    </r>
    <r>
      <rPr>
        <vertAlign val="subscript"/>
        <sz val="10"/>
        <rFont val="Arial"/>
        <family val="2"/>
      </rPr>
      <t>1,Ed</t>
    </r>
  </si>
  <si>
    <r>
      <t>Q</t>
    </r>
    <r>
      <rPr>
        <vertAlign val="subscript"/>
        <sz val="10"/>
        <rFont val="Arial"/>
        <family val="2"/>
      </rPr>
      <t>1,Ed</t>
    </r>
  </si>
  <si>
    <r>
      <t>M</t>
    </r>
    <r>
      <rPr>
        <vertAlign val="subscript"/>
        <sz val="8"/>
        <rFont val="Arial"/>
        <family val="2"/>
      </rPr>
      <t>kipp</t>
    </r>
    <r>
      <rPr>
        <sz val="8"/>
        <rFont val="Arial"/>
        <family val="2"/>
      </rPr>
      <t xml:space="preserve"> -  M</t>
    </r>
    <r>
      <rPr>
        <vertAlign val="subscript"/>
        <sz val="8"/>
        <rFont val="Arial"/>
        <family val="2"/>
      </rPr>
      <t>stand</t>
    </r>
    <r>
      <rPr>
        <sz val="8"/>
        <rFont val="Arial"/>
        <family val="2"/>
      </rPr>
      <t xml:space="preserve"> =</t>
    </r>
  </si>
  <si>
    <t>mit</t>
  </si>
  <si>
    <r>
      <t>M</t>
    </r>
    <r>
      <rPr>
        <vertAlign val="subscript"/>
        <sz val="10"/>
        <rFont val="Arial"/>
        <family val="2"/>
      </rPr>
      <t>2,Ed</t>
    </r>
  </si>
  <si>
    <r>
      <t>N</t>
    </r>
    <r>
      <rPr>
        <vertAlign val="subscript"/>
        <sz val="10"/>
        <rFont val="Arial"/>
        <family val="2"/>
      </rPr>
      <t>2,Ed</t>
    </r>
  </si>
  <si>
    <r>
      <t>Q</t>
    </r>
    <r>
      <rPr>
        <vertAlign val="subscript"/>
        <sz val="10"/>
        <rFont val="Arial"/>
        <family val="2"/>
      </rPr>
      <t>2,Ed</t>
    </r>
  </si>
  <si>
    <t>kN / cm</t>
  </si>
  <si>
    <r>
      <rPr>
        <sz val="8"/>
        <rFont val="Times New Roman"/>
        <family val="1"/>
      </rPr>
      <t>y</t>
    </r>
    <r>
      <rPr>
        <vertAlign val="subscript"/>
        <sz val="8"/>
        <rFont val="Arial"/>
        <family val="2"/>
      </rPr>
      <t xml:space="preserve">Q,1 </t>
    </r>
    <r>
      <rPr>
        <sz val="8"/>
        <rFont val="Arial"/>
        <family val="2"/>
      </rPr>
      <t>= 1,5</t>
    </r>
  </si>
  <si>
    <r>
      <t xml:space="preserve">M </t>
    </r>
    <r>
      <rPr>
        <vertAlign val="subscript"/>
        <sz val="8"/>
        <rFont val="Arial"/>
        <family val="2"/>
      </rPr>
      <t>s,Ed</t>
    </r>
    <r>
      <rPr>
        <sz val="8"/>
        <rFont val="Arial"/>
        <family val="2"/>
      </rPr>
      <t xml:space="preserve"> =</t>
    </r>
  </si>
  <si>
    <r>
      <t xml:space="preserve">M </t>
    </r>
    <r>
      <rPr>
        <vertAlign val="subscript"/>
        <sz val="8"/>
        <rFont val="Arial"/>
        <family val="2"/>
      </rPr>
      <t>KIPP</t>
    </r>
    <r>
      <rPr>
        <sz val="8"/>
        <rFont val="Arial"/>
        <family val="2"/>
      </rPr>
      <t xml:space="preserve"> - M </t>
    </r>
    <r>
      <rPr>
        <vertAlign val="subscript"/>
        <sz val="8"/>
        <rFont val="Arial"/>
        <family val="2"/>
      </rPr>
      <t>stand</t>
    </r>
    <r>
      <rPr>
        <sz val="8"/>
        <rFont val="Arial"/>
        <family val="2"/>
      </rPr>
      <t xml:space="preserve"> =</t>
    </r>
  </si>
  <si>
    <r>
      <t xml:space="preserve"> M </t>
    </r>
    <r>
      <rPr>
        <vertAlign val="subscript"/>
        <sz val="8"/>
        <rFont val="Arial"/>
        <family val="2"/>
      </rPr>
      <t>KIPP</t>
    </r>
    <r>
      <rPr>
        <sz val="8"/>
        <rFont val="Arial"/>
        <family val="2"/>
      </rPr>
      <t xml:space="preserve"> - M </t>
    </r>
    <r>
      <rPr>
        <vertAlign val="subscript"/>
        <sz val="8"/>
        <rFont val="Arial"/>
        <family val="2"/>
      </rPr>
      <t>stand</t>
    </r>
    <r>
      <rPr>
        <sz val="8"/>
        <rFont val="Arial"/>
        <family val="2"/>
      </rPr>
      <t xml:space="preserve"> =</t>
    </r>
  </si>
  <si>
    <t>horizontale</t>
  </si>
  <si>
    <t>kN/cm²</t>
  </si>
  <si>
    <r>
      <t>verwendete Verbundfestigkeit</t>
    </r>
    <r>
      <rPr>
        <sz val="8"/>
        <rFont val="Arial"/>
        <family val="2"/>
      </rPr>
      <t xml:space="preserve"> für Dübel</t>
    </r>
  </si>
  <si>
    <r>
      <t>q</t>
    </r>
    <r>
      <rPr>
        <vertAlign val="subscript"/>
        <sz val="8"/>
        <rFont val="Arial"/>
        <family val="2"/>
      </rPr>
      <t>b,0</t>
    </r>
  </si>
  <si>
    <t>verwendete Verbundfestigkeit</t>
  </si>
  <si>
    <t>kN / cm²</t>
  </si>
  <si>
    <t xml:space="preserve">Beiw. </t>
  </si>
  <si>
    <r>
      <t>z</t>
    </r>
    <r>
      <rPr>
        <vertAlign val="subscript"/>
        <sz val="8"/>
        <rFont val="Arial"/>
        <family val="2"/>
      </rPr>
      <t>min =</t>
    </r>
  </si>
  <si>
    <r>
      <t>w</t>
    </r>
    <r>
      <rPr>
        <vertAlign val="subscript"/>
        <sz val="8"/>
        <rFont val="Arial"/>
        <family val="2"/>
      </rPr>
      <t>Ed,A</t>
    </r>
    <r>
      <rPr>
        <sz val="8"/>
        <rFont val="Arial"/>
        <family val="2"/>
      </rPr>
      <t xml:space="preserve"> = q</t>
    </r>
    <r>
      <rPr>
        <vertAlign val="subscript"/>
        <sz val="8"/>
        <rFont val="Arial"/>
        <family val="2"/>
      </rPr>
      <t>b</t>
    </r>
    <r>
      <rPr>
        <sz val="8"/>
        <rFont val="Arial"/>
        <family val="2"/>
      </rPr>
      <t xml:space="preserve"> * c</t>
    </r>
    <r>
      <rPr>
        <vertAlign val="subscript"/>
        <sz val="8"/>
        <rFont val="Arial"/>
        <family val="2"/>
      </rPr>
      <t>p,net,A</t>
    </r>
    <r>
      <rPr>
        <sz val="8"/>
        <rFont val="Arial"/>
        <family val="2"/>
      </rPr>
      <t xml:space="preserve"> * y</t>
    </r>
    <r>
      <rPr>
        <vertAlign val="subscript"/>
        <sz val="8"/>
        <rFont val="Arial"/>
        <family val="2"/>
      </rPr>
      <t>Q,1</t>
    </r>
    <r>
      <rPr>
        <sz val="8"/>
        <rFont val="Arial"/>
        <family val="2"/>
      </rPr>
      <t xml:space="preserve"> = </t>
    </r>
  </si>
  <si>
    <r>
      <t>w</t>
    </r>
    <r>
      <rPr>
        <vertAlign val="subscript"/>
        <sz val="8"/>
        <rFont val="Arial"/>
        <family val="2"/>
      </rPr>
      <t>Ed,B</t>
    </r>
    <r>
      <rPr>
        <sz val="8"/>
        <rFont val="Arial"/>
        <family val="2"/>
      </rPr>
      <t xml:space="preserve"> = q</t>
    </r>
    <r>
      <rPr>
        <vertAlign val="subscript"/>
        <sz val="8"/>
        <rFont val="Arial"/>
        <family val="2"/>
      </rPr>
      <t>b</t>
    </r>
    <r>
      <rPr>
        <sz val="8"/>
        <rFont val="Arial"/>
        <family val="2"/>
      </rPr>
      <t xml:space="preserve"> * c</t>
    </r>
    <r>
      <rPr>
        <vertAlign val="subscript"/>
        <sz val="8"/>
        <rFont val="Arial"/>
        <family val="2"/>
      </rPr>
      <t>p,net,B</t>
    </r>
    <r>
      <rPr>
        <sz val="8"/>
        <rFont val="Arial"/>
        <family val="2"/>
      </rPr>
      <t xml:space="preserve"> * y</t>
    </r>
    <r>
      <rPr>
        <vertAlign val="subscript"/>
        <sz val="8"/>
        <rFont val="Arial"/>
        <family val="2"/>
      </rPr>
      <t>Q,1</t>
    </r>
    <r>
      <rPr>
        <sz val="8"/>
        <rFont val="Arial"/>
        <family val="2"/>
      </rPr>
      <t xml:space="preserve"> = </t>
    </r>
  </si>
  <si>
    <r>
      <t>N</t>
    </r>
    <r>
      <rPr>
        <vertAlign val="subscript"/>
        <sz val="10"/>
        <color indexed="8"/>
        <rFont val="Arial"/>
        <family val="2"/>
      </rPr>
      <t>1,Ed</t>
    </r>
  </si>
  <si>
    <r>
      <t>M</t>
    </r>
    <r>
      <rPr>
        <vertAlign val="subscript"/>
        <sz val="10"/>
        <color indexed="8"/>
        <rFont val="Arial"/>
        <family val="2"/>
      </rPr>
      <t>2,Ed</t>
    </r>
  </si>
  <si>
    <r>
      <t>N</t>
    </r>
    <r>
      <rPr>
        <vertAlign val="subscript"/>
        <sz val="10"/>
        <color indexed="8"/>
        <rFont val="Arial"/>
        <family val="2"/>
      </rPr>
      <t>2,Ed</t>
    </r>
  </si>
  <si>
    <t>angenommen.</t>
  </si>
  <si>
    <t>0,19-0,50 kN/m²</t>
  </si>
  <si>
    <r>
      <t>M</t>
    </r>
    <r>
      <rPr>
        <vertAlign val="subscript"/>
        <sz val="8"/>
        <rFont val="Arial"/>
        <family val="2"/>
      </rPr>
      <t>stand</t>
    </r>
    <r>
      <rPr>
        <sz val="8"/>
        <rFont val="Arial"/>
        <family val="2"/>
      </rPr>
      <t xml:space="preserve"> = G</t>
    </r>
    <r>
      <rPr>
        <vertAlign val="subscript"/>
        <sz val="8"/>
        <rFont val="Arial"/>
        <family val="2"/>
      </rPr>
      <t>1</t>
    </r>
    <r>
      <rPr>
        <sz val="8"/>
        <rFont val="Arial"/>
        <family val="2"/>
      </rPr>
      <t xml:space="preserve"> * D1/ 2 =</t>
    </r>
  </si>
  <si>
    <r>
      <t>M</t>
    </r>
    <r>
      <rPr>
        <vertAlign val="subscript"/>
        <sz val="8"/>
        <color indexed="8"/>
        <rFont val="Arial"/>
        <family val="2"/>
      </rPr>
      <t>stand</t>
    </r>
    <r>
      <rPr>
        <sz val="8"/>
        <color indexed="8"/>
        <rFont val="Arial"/>
        <family val="2"/>
      </rPr>
      <t xml:space="preserve"> = G</t>
    </r>
    <r>
      <rPr>
        <vertAlign val="sub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>*D</t>
    </r>
    <r>
      <rPr>
        <vertAlign val="sub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>/2 + G</t>
    </r>
    <r>
      <rPr>
        <vertAlign val="subscript"/>
        <sz val="8"/>
        <color indexed="8"/>
        <rFont val="Arial"/>
        <family val="2"/>
      </rPr>
      <t>2</t>
    </r>
    <r>
      <rPr>
        <sz val="8"/>
        <color indexed="8"/>
        <rFont val="Arial"/>
        <family val="2"/>
      </rPr>
      <t>*D</t>
    </r>
    <r>
      <rPr>
        <vertAlign val="subscript"/>
        <sz val="8"/>
        <color indexed="8"/>
        <rFont val="Arial"/>
        <family val="2"/>
      </rPr>
      <t>2</t>
    </r>
    <r>
      <rPr>
        <sz val="8"/>
        <color indexed="8"/>
        <rFont val="Arial"/>
        <family val="2"/>
      </rPr>
      <t>/2 =</t>
    </r>
  </si>
  <si>
    <t>horizontale Verkehrslast H =</t>
  </si>
  <si>
    <t>Wind od. h. V.</t>
  </si>
  <si>
    <t>kN/m³</t>
  </si>
  <si>
    <t>Verkehrslast</t>
  </si>
  <si>
    <t>maßgebend</t>
  </si>
  <si>
    <t>von 0 bis 30 cm</t>
  </si>
  <si>
    <t>von 6 bis 30 cm</t>
  </si>
  <si>
    <r>
      <rPr>
        <sz val="10"/>
        <rFont val="Calibri"/>
        <family val="2"/>
      </rPr>
      <t>≤</t>
    </r>
    <r>
      <rPr>
        <sz val="10"/>
        <rFont val="Arial"/>
        <family val="2"/>
      </rPr>
      <t xml:space="preserve"> 140 cm</t>
    </r>
  </si>
  <si>
    <t>≥ 10 cm</t>
  </si>
  <si>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20 cm und ≥ D</t>
    </r>
    <r>
      <rPr>
        <vertAlign val="subscript"/>
        <sz val="10"/>
        <rFont val="Arial"/>
        <family val="2"/>
      </rPr>
      <t xml:space="preserve"> 1</t>
    </r>
  </si>
  <si>
    <t>horizontale Verkehrslast mit</t>
  </si>
  <si>
    <r>
      <t>H</t>
    </r>
    <r>
      <rPr>
        <vertAlign val="subscript"/>
        <sz val="8"/>
        <rFont val="Arial"/>
        <family val="2"/>
      </rPr>
      <t>Ed</t>
    </r>
    <r>
      <rPr>
        <sz val="8"/>
        <rFont val="Arial"/>
        <family val="2"/>
      </rPr>
      <t xml:space="preserve"> =</t>
    </r>
  </si>
  <si>
    <t>Richtlinie 2016 / 7.5</t>
  </si>
  <si>
    <t>Richtlinie 2000 / 7.5</t>
  </si>
  <si>
    <r>
      <t>höhe z</t>
    </r>
    <r>
      <rPr>
        <vertAlign val="subscript"/>
        <sz val="8"/>
        <color indexed="8"/>
        <rFont val="Arial"/>
        <family val="2"/>
      </rPr>
      <t>min</t>
    </r>
    <r>
      <rPr>
        <sz val="8"/>
        <color indexed="8"/>
        <rFont val="Arial"/>
        <family val="2"/>
      </rPr>
      <t xml:space="preserve"> (vgl. Tab. B.1 ONR 27214) wird auch für Grabsteine entsprochen,</t>
    </r>
  </si>
  <si>
    <t>*)  Dem Weg der ÖNORM EN 1991-1-4 mit dem Ansatz einer unteren Grenz-</t>
  </si>
  <si>
    <t xml:space="preserve"> ---  Die Verwendung von Rippen- bzw. Gewindestäben, aus nichtrostenden Stählen gemäß EN 10088-1,</t>
  </si>
  <si>
    <t>Windbeiwerte nach ÖNORM EN 1991-1-4</t>
  </si>
  <si>
    <t>Die Berechnung geht von einer Verbundfestigkeit von 0,16 kN/cm² aus, entsprechende Voraussetzungen</t>
  </si>
  <si>
    <t xml:space="preserve"> ---  Die Verwendung von Zementmörteln mit mindestens 16 N/mm² Druckfestigkeit.</t>
  </si>
  <si>
    <t xml:space="preserve">      Stahloberfläche und Mörtel mindestens der Verbundfestigkeit von 0,16 kN/cm² entspricht.</t>
  </si>
  <si>
    <t xml:space="preserve"> ---  Bei Verwendung von Rundstählen ist Voraussetzung, dass die Verbundfestigkeit zwischen </t>
  </si>
  <si>
    <t xml:space="preserve">      Werkstoffnummer 1.4401 oder 1.4571, gereinigt und entfettet.</t>
  </si>
  <si>
    <t xml:space="preserve"> ---  Der Bohrlochdurchmesser muss gegenüber dem Dübeldurchmesser um mind. 5 mm größer sein.</t>
  </si>
  <si>
    <t>Die Dübelberechnung basiert auf der Verbundfestigkeit der Dübel in jeweils beiden (oben und unten)</t>
  </si>
  <si>
    <t>Verarbeitungsrichtlinien (Voraussetzungen):</t>
  </si>
  <si>
    <t xml:space="preserve">       dieses Bohrloches (Erreichbar durch Bohren mit Schlagbohrmaschine).</t>
  </si>
  <si>
    <t xml:space="preserve">gereinigtem Bohrloch eine Verbundfestigkeit von 0,16 kN/cm² </t>
  </si>
  <si>
    <t>Gelände-kategorie</t>
  </si>
  <si>
    <t>See, Küstengebiete, die der offenen See ausgesetzt sind</t>
  </si>
  <si>
    <t>I</t>
  </si>
  <si>
    <t>Seen oder Gebiete mit niedriger Vegetation und ohne Hindernisse</t>
  </si>
  <si>
    <t>II</t>
  </si>
  <si>
    <t>Gebiete mit niedriger Vegetation wie Gras und einzelne Hindernisse (Bäume, Gebäude) mit Abständen von min. 20-facher Hindernishöhe</t>
  </si>
  <si>
    <t>III</t>
  </si>
  <si>
    <t>Gebiete mit gleichmäßiger Vegetation oder Bebauung oder mit einzelnen Objekten mit Abständen von weniger als der 20-fachen Hindernishöhe (z.B. Dörfer, vorstädtische Bebauung, Waldgebiete)</t>
  </si>
  <si>
    <t>IV</t>
  </si>
  <si>
    <t>Gebiete in denen mindestens 15 % der Oberfläche mit Gebäuden mit einer mittleren Höhe größer als 15 m bebaut sind.</t>
  </si>
  <si>
    <t>Anmerkung: Die Geländekategorien 0 und I treten in Österreich nicht auf</t>
  </si>
  <si>
    <t xml:space="preserve"> Windlasten</t>
  </si>
  <si>
    <t>In meisten Fällen wird Geländekategorie II herangezogen</t>
  </si>
  <si>
    <t>Tabelle lt ÖNORM EN 1991-1-4 (wird für Grabsteine herangezogen)</t>
  </si>
  <si>
    <t>Grundwerte der Basiswindgeschwindigkeit und</t>
  </si>
  <si>
    <t>des Basisgeschwindigkeitsdrucks</t>
  </si>
  <si>
    <t>Tabelle - Basisgeschwindigkeit und Basisgeschwindigkeitsdruck</t>
  </si>
  <si>
    <t>Tabelle: Geländekategorien und Geländeparameter</t>
  </si>
  <si>
    <t>für ausgewählte Orte in Österreich angegeben, gemäß ÖNORM B 1991-1-4:2013.</t>
  </si>
  <si>
    <t>In Tabelle sind Grundwerte von Basisgeschwindigkeit und Basisgeschwindigkeitsdruck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</si>
</sst>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d/\ mmmm\ yyyy"/>
    <numFmt numFmtId="167" formatCode="0.00000"/>
  </numFmts>
  <fonts count="7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8"/>
      <name val="Symbol"/>
      <family val="1"/>
      <charset val="2"/>
    </font>
    <font>
      <b/>
      <sz val="8"/>
      <color indexed="10"/>
      <name val="Arial"/>
      <family val="2"/>
    </font>
    <font>
      <vertAlign val="subscript"/>
      <sz val="8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8"/>
      <color indexed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6"/>
      <name val="Arial"/>
      <family val="2"/>
    </font>
    <font>
      <b/>
      <sz val="8"/>
      <color indexed="12"/>
      <name val="Arial"/>
      <family val="2"/>
    </font>
    <font>
      <sz val="8"/>
      <color indexed="8"/>
      <name val="Arial"/>
      <family val="2"/>
    </font>
    <font>
      <b/>
      <sz val="10"/>
      <color indexed="17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8"/>
      <color indexed="8"/>
      <name val="Arial"/>
      <family val="2"/>
    </font>
    <font>
      <sz val="14"/>
      <name val="Arial"/>
      <family val="2"/>
    </font>
    <font>
      <sz val="8"/>
      <color indexed="17"/>
      <name val="Arial"/>
      <family val="2"/>
    </font>
    <font>
      <b/>
      <sz val="8"/>
      <color indexed="8"/>
      <name val="Arial"/>
      <family val="2"/>
    </font>
    <font>
      <vertAlign val="subscript"/>
      <sz val="8"/>
      <color indexed="8"/>
      <name val="Arial"/>
      <family val="2"/>
    </font>
    <font>
      <sz val="8"/>
      <color indexed="8"/>
      <name val="Symbol"/>
      <family val="1"/>
      <charset val="2"/>
    </font>
    <font>
      <sz val="8"/>
      <name val="Symbol"/>
      <family val="1"/>
      <charset val="2"/>
    </font>
    <font>
      <b/>
      <sz val="10"/>
      <color indexed="61"/>
      <name val="Arial"/>
      <family val="2"/>
    </font>
    <font>
      <b/>
      <sz val="10"/>
      <color indexed="33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b/>
      <sz val="9"/>
      <color indexed="8"/>
      <name val="Arial"/>
      <family val="2"/>
    </font>
    <font>
      <vertAlign val="subscript"/>
      <sz val="7"/>
      <name val="Arial"/>
      <family val="2"/>
    </font>
    <font>
      <b/>
      <sz val="10"/>
      <color indexed="44"/>
      <name val="Arial"/>
      <family val="2"/>
    </font>
    <font>
      <sz val="10"/>
      <color indexed="44"/>
      <name val="Arial"/>
      <family val="2"/>
    </font>
    <font>
      <b/>
      <sz val="10"/>
      <color indexed="24"/>
      <name val="Arial"/>
      <family val="2"/>
    </font>
    <font>
      <b/>
      <sz val="10"/>
      <color indexed="24"/>
      <name val="Arial"/>
      <family val="2"/>
    </font>
    <font>
      <b/>
      <sz val="8"/>
      <color indexed="8"/>
      <name val="Arial"/>
      <family val="2"/>
    </font>
    <font>
      <vertAlign val="subscript"/>
      <sz val="10"/>
      <color indexed="8"/>
      <name val="Arial"/>
      <family val="2"/>
    </font>
    <font>
      <sz val="10"/>
      <color indexed="8"/>
      <name val="Symbol"/>
      <family val="1"/>
      <charset val="2"/>
    </font>
    <font>
      <sz val="10"/>
      <name val="Symbol"/>
      <family val="1"/>
      <charset val="2"/>
    </font>
    <font>
      <sz val="10"/>
      <name val="Arial"/>
      <family val="2"/>
    </font>
    <font>
      <b/>
      <sz val="10"/>
      <color indexed="33"/>
      <name val="Arial"/>
      <family val="2"/>
    </font>
    <font>
      <sz val="10"/>
      <color indexed="27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sz val="10"/>
      <color indexed="12"/>
      <name val="Arial"/>
      <family val="2"/>
    </font>
    <font>
      <b/>
      <sz val="12"/>
      <color indexed="12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sz val="8"/>
      <color indexed="9"/>
      <name val="Symbol"/>
      <family val="1"/>
      <charset val="2"/>
    </font>
    <font>
      <sz val="8"/>
      <name val="Times New Roman"/>
      <family val="1"/>
    </font>
    <font>
      <b/>
      <sz val="9"/>
      <color indexed="33"/>
      <name val="Arial"/>
      <family val="2"/>
    </font>
    <font>
      <b/>
      <sz val="8"/>
      <color indexed="33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9"/>
      <color indexed="8"/>
      <name val="Arial"/>
      <family val="2"/>
    </font>
    <font>
      <sz val="10"/>
      <name val="Calibri"/>
      <family val="2"/>
    </font>
    <font>
      <sz val="7.9"/>
      <name val="Arial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6"/>
      <name val="Times New Roman"/>
      <family val="1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gray125">
        <bgColor rgb="FFE5E5E5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82">
    <xf numFmtId="0" fontId="0" fillId="0" borderId="0" xfId="0"/>
    <xf numFmtId="0" fontId="0" fillId="0" borderId="0" xfId="0" applyBorder="1"/>
    <xf numFmtId="0" fontId="0" fillId="0" borderId="0" xfId="0" applyFill="1"/>
    <xf numFmtId="0" fontId="0" fillId="2" borderId="1" xfId="0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0" fillId="2" borderId="3" xfId="0" applyFill="1" applyBorder="1" applyProtection="1">
      <protection hidden="1"/>
    </xf>
    <xf numFmtId="0" fontId="42" fillId="2" borderId="4" xfId="0" applyFont="1" applyFill="1" applyBorder="1" applyAlignment="1" applyProtection="1">
      <alignment horizontal="centerContinuous"/>
      <protection hidden="1"/>
    </xf>
    <xf numFmtId="0" fontId="5" fillId="2" borderId="2" xfId="0" applyFont="1" applyFill="1" applyBorder="1" applyAlignment="1" applyProtection="1">
      <alignment horizontal="centerContinuous"/>
      <protection hidden="1"/>
    </xf>
    <xf numFmtId="0" fontId="0" fillId="2" borderId="2" xfId="0" applyFill="1" applyBorder="1" applyAlignment="1" applyProtection="1">
      <alignment horizontal="centerContinuous"/>
      <protection hidden="1"/>
    </xf>
    <xf numFmtId="0" fontId="0" fillId="2" borderId="5" xfId="0" applyFill="1" applyBorder="1" applyAlignment="1" applyProtection="1">
      <alignment horizontal="centerContinuous"/>
      <protection hidden="1"/>
    </xf>
    <xf numFmtId="0" fontId="0" fillId="0" borderId="0" xfId="0" applyProtection="1">
      <protection hidden="1"/>
    </xf>
    <xf numFmtId="0" fontId="26" fillId="2" borderId="6" xfId="0" applyFont="1" applyFill="1" applyBorder="1" applyAlignment="1" applyProtection="1">
      <alignment horizontal="centerContinuous"/>
      <protection hidden="1"/>
    </xf>
    <xf numFmtId="0" fontId="26" fillId="2" borderId="0" xfId="0" applyFont="1" applyFill="1" applyBorder="1" applyAlignment="1" applyProtection="1">
      <alignment horizontal="left"/>
      <protection hidden="1"/>
    </xf>
    <xf numFmtId="0" fontId="0" fillId="2" borderId="0" xfId="0" applyFill="1" applyBorder="1" applyProtection="1">
      <protection hidden="1"/>
    </xf>
    <xf numFmtId="0" fontId="28" fillId="2" borderId="0" xfId="0" applyFont="1" applyFill="1" applyBorder="1" applyAlignment="1" applyProtection="1">
      <alignment horizontal="centerContinuous"/>
      <protection hidden="1"/>
    </xf>
    <xf numFmtId="0" fontId="16" fillId="2" borderId="0" xfId="0" applyFont="1" applyFill="1" applyBorder="1" applyAlignment="1" applyProtection="1">
      <alignment horizontal="centerContinuous"/>
      <protection hidden="1"/>
    </xf>
    <xf numFmtId="0" fontId="0" fillId="2" borderId="0" xfId="0" applyFill="1" applyBorder="1" applyAlignment="1" applyProtection="1">
      <alignment horizontal="centerContinuous"/>
      <protection hidden="1"/>
    </xf>
    <xf numFmtId="0" fontId="26" fillId="2" borderId="0" xfId="0" applyFont="1" applyFill="1" applyBorder="1" applyAlignment="1" applyProtection="1">
      <alignment horizontal="centerContinuous"/>
      <protection hidden="1"/>
    </xf>
    <xf numFmtId="0" fontId="0" fillId="2" borderId="7" xfId="0" applyFill="1" applyBorder="1" applyProtection="1">
      <protection hidden="1"/>
    </xf>
    <xf numFmtId="166" fontId="42" fillId="2" borderId="8" xfId="0" applyNumberFormat="1" applyFont="1" applyFill="1" applyBorder="1" applyAlignment="1" applyProtection="1">
      <alignment horizontal="centerContinuous"/>
      <protection hidden="1"/>
    </xf>
    <xf numFmtId="0" fontId="5" fillId="2" borderId="9" xfId="0" applyFont="1" applyFill="1" applyBorder="1" applyAlignment="1" applyProtection="1">
      <alignment horizontal="centerContinuous"/>
      <protection hidden="1"/>
    </xf>
    <xf numFmtId="0" fontId="0" fillId="2" borderId="9" xfId="0" applyFill="1" applyBorder="1" applyAlignment="1" applyProtection="1">
      <alignment horizontal="centerContinuous"/>
      <protection hidden="1"/>
    </xf>
    <xf numFmtId="0" fontId="0" fillId="2" borderId="10" xfId="0" applyFill="1" applyBorder="1" applyAlignment="1" applyProtection="1">
      <alignment horizontal="centerContinuous"/>
      <protection hidden="1"/>
    </xf>
    <xf numFmtId="0" fontId="0" fillId="2" borderId="11" xfId="0" applyFill="1" applyBorder="1" applyProtection="1">
      <protection hidden="1"/>
    </xf>
    <xf numFmtId="0" fontId="0" fillId="2" borderId="9" xfId="0" applyFill="1" applyBorder="1" applyProtection="1">
      <protection hidden="1"/>
    </xf>
    <xf numFmtId="0" fontId="0" fillId="2" borderId="12" xfId="0" applyFill="1" applyBorder="1" applyProtection="1">
      <protection hidden="1"/>
    </xf>
    <xf numFmtId="0" fontId="42" fillId="2" borderId="13" xfId="0" applyFont="1" applyFill="1" applyBorder="1" applyAlignment="1" applyProtection="1">
      <alignment horizontal="centerContinuous"/>
      <protection hidden="1"/>
    </xf>
    <xf numFmtId="0" fontId="40" fillId="2" borderId="14" xfId="0" applyFont="1" applyFill="1" applyBorder="1" applyAlignment="1" applyProtection="1">
      <alignment horizontal="centerContinuous"/>
      <protection hidden="1"/>
    </xf>
    <xf numFmtId="0" fontId="41" fillId="2" borderId="14" xfId="0" applyFont="1" applyFill="1" applyBorder="1" applyAlignment="1" applyProtection="1">
      <alignment horizontal="centerContinuous"/>
      <protection hidden="1"/>
    </xf>
    <xf numFmtId="0" fontId="41" fillId="2" borderId="15" xfId="0" applyFont="1" applyFill="1" applyBorder="1" applyAlignment="1" applyProtection="1">
      <alignment horizontal="centerContinuous"/>
      <protection hidden="1"/>
    </xf>
    <xf numFmtId="0" fontId="0" fillId="3" borderId="6" xfId="0" applyFill="1" applyBorder="1" applyProtection="1">
      <protection hidden="1"/>
    </xf>
    <xf numFmtId="0" fontId="34" fillId="3" borderId="0" xfId="0" applyFont="1" applyFill="1" applyBorder="1" applyProtection="1">
      <protection hidden="1"/>
    </xf>
    <xf numFmtId="0" fontId="0" fillId="3" borderId="0" xfId="0" applyFill="1" applyBorder="1" applyProtection="1">
      <protection hidden="1"/>
    </xf>
    <xf numFmtId="0" fontId="42" fillId="2" borderId="16" xfId="0" applyFont="1" applyFill="1" applyBorder="1" applyAlignment="1" applyProtection="1">
      <alignment horizontal="centerContinuous"/>
      <protection hidden="1"/>
    </xf>
    <xf numFmtId="0" fontId="42" fillId="2" borderId="17" xfId="0" applyFont="1" applyFill="1" applyBorder="1" applyAlignment="1" applyProtection="1">
      <alignment horizontal="centerContinuous"/>
      <protection hidden="1"/>
    </xf>
    <xf numFmtId="0" fontId="43" fillId="2" borderId="17" xfId="0" applyFont="1" applyFill="1" applyBorder="1" applyAlignment="1" applyProtection="1">
      <alignment horizontal="centerContinuous"/>
      <protection hidden="1"/>
    </xf>
    <xf numFmtId="0" fontId="43" fillId="2" borderId="18" xfId="0" applyFont="1" applyFill="1" applyBorder="1" applyAlignment="1" applyProtection="1">
      <alignment horizontal="centerContinuous"/>
      <protection hidden="1"/>
    </xf>
    <xf numFmtId="0" fontId="42" fillId="2" borderId="9" xfId="0" applyFont="1" applyFill="1" applyBorder="1" applyAlignment="1" applyProtection="1">
      <alignment horizontal="centerContinuous"/>
      <protection hidden="1"/>
    </xf>
    <xf numFmtId="0" fontId="43" fillId="2" borderId="9" xfId="0" applyFont="1" applyFill="1" applyBorder="1" applyAlignment="1" applyProtection="1">
      <alignment horizontal="centerContinuous"/>
      <protection hidden="1"/>
    </xf>
    <xf numFmtId="0" fontId="43" fillId="2" borderId="10" xfId="0" applyFont="1" applyFill="1" applyBorder="1" applyAlignment="1" applyProtection="1">
      <alignment horizontal="centerContinuous"/>
      <protection hidden="1"/>
    </xf>
    <xf numFmtId="0" fontId="6" fillId="3" borderId="0" xfId="0" applyFont="1" applyFill="1" applyBorder="1" applyProtection="1">
      <protection hidden="1"/>
    </xf>
    <xf numFmtId="0" fontId="26" fillId="3" borderId="6" xfId="0" applyFont="1" applyFill="1" applyBorder="1" applyAlignment="1" applyProtection="1">
      <alignment horizontal="centerContinuous"/>
      <protection hidden="1"/>
    </xf>
    <xf numFmtId="0" fontId="0" fillId="3" borderId="0" xfId="0" applyFill="1" applyProtection="1">
      <protection hidden="1"/>
    </xf>
    <xf numFmtId="0" fontId="0" fillId="2" borderId="20" xfId="0" applyFill="1" applyBorder="1" applyProtection="1">
      <protection hidden="1"/>
    </xf>
    <xf numFmtId="0" fontId="0" fillId="3" borderId="19" xfId="0" applyFill="1" applyBorder="1" applyProtection="1">
      <protection hidden="1"/>
    </xf>
    <xf numFmtId="0" fontId="0" fillId="2" borderId="21" xfId="0" applyFill="1" applyBorder="1" applyProtection="1">
      <protection hidden="1"/>
    </xf>
    <xf numFmtId="0" fontId="17" fillId="2" borderId="22" xfId="0" applyFont="1" applyFill="1" applyBorder="1" applyAlignment="1" applyProtection="1">
      <alignment horizontal="centerContinuous"/>
      <protection hidden="1"/>
    </xf>
    <xf numFmtId="0" fontId="0" fillId="2" borderId="23" xfId="0" applyFill="1" applyBorder="1" applyAlignment="1" applyProtection="1">
      <alignment horizontal="centerContinuous"/>
      <protection hidden="1"/>
    </xf>
    <xf numFmtId="0" fontId="0" fillId="2" borderId="24" xfId="0" applyFill="1" applyBorder="1" applyAlignment="1" applyProtection="1">
      <alignment horizontal="centerContinuous"/>
      <protection hidden="1"/>
    </xf>
    <xf numFmtId="0" fontId="4" fillId="3" borderId="0" xfId="0" applyFont="1" applyFill="1" applyBorder="1" applyAlignment="1" applyProtection="1">
      <alignment horizontal="center"/>
      <protection locked="0" hidden="1"/>
    </xf>
    <xf numFmtId="0" fontId="21" fillId="3" borderId="0" xfId="0" applyFont="1" applyFill="1" applyBorder="1" applyAlignment="1" applyProtection="1">
      <alignment horizontal="left"/>
      <protection hidden="1"/>
    </xf>
    <xf numFmtId="0" fontId="14" fillId="3" borderId="6" xfId="0" applyFont="1" applyFill="1" applyBorder="1" applyAlignment="1" applyProtection="1">
      <alignment horizontal="centerContinuous"/>
      <protection hidden="1"/>
    </xf>
    <xf numFmtId="0" fontId="14" fillId="3" borderId="0" xfId="0" applyFont="1" applyFill="1" applyBorder="1" applyAlignment="1" applyProtection="1">
      <alignment horizontal="centerContinuous"/>
      <protection hidden="1"/>
    </xf>
    <xf numFmtId="0" fontId="11" fillId="3" borderId="25" xfId="0" applyFont="1" applyFill="1" applyBorder="1" applyProtection="1">
      <protection hidden="1"/>
    </xf>
    <xf numFmtId="0" fontId="11" fillId="3" borderId="0" xfId="0" applyFont="1" applyFill="1" applyBorder="1" applyProtection="1">
      <protection hidden="1"/>
    </xf>
    <xf numFmtId="0" fontId="0" fillId="3" borderId="0" xfId="0" applyFill="1" applyBorder="1" applyAlignment="1" applyProtection="1">
      <alignment horizontal="center"/>
      <protection hidden="1"/>
    </xf>
    <xf numFmtId="0" fontId="23" fillId="3" borderId="0" xfId="0" applyFont="1" applyFill="1" applyBorder="1" applyProtection="1">
      <protection hidden="1"/>
    </xf>
    <xf numFmtId="0" fontId="11" fillId="3" borderId="0" xfId="0" applyFont="1" applyFill="1" applyBorder="1" applyAlignment="1" applyProtection="1">
      <alignment horizontal="right"/>
      <protection hidden="1"/>
    </xf>
    <xf numFmtId="0" fontId="14" fillId="3" borderId="26" xfId="0" applyFont="1" applyFill="1" applyBorder="1" applyAlignment="1" applyProtection="1">
      <alignment horizontal="centerContinuous"/>
      <protection hidden="1"/>
    </xf>
    <xf numFmtId="0" fontId="14" fillId="3" borderId="27" xfId="0" applyFont="1" applyFill="1" applyBorder="1" applyAlignment="1" applyProtection="1">
      <alignment horizontal="centerContinuous"/>
      <protection hidden="1"/>
    </xf>
    <xf numFmtId="0" fontId="11" fillId="3" borderId="28" xfId="0" applyFont="1" applyFill="1" applyBorder="1" applyProtection="1">
      <protection hidden="1"/>
    </xf>
    <xf numFmtId="0" fontId="11" fillId="3" borderId="27" xfId="0" applyFont="1" applyFill="1" applyBorder="1" applyProtection="1">
      <protection hidden="1"/>
    </xf>
    <xf numFmtId="0" fontId="0" fillId="3" borderId="29" xfId="0" applyFill="1" applyBorder="1" applyProtection="1">
      <protection hidden="1"/>
    </xf>
    <xf numFmtId="49" fontId="11" fillId="3" borderId="6" xfId="0" applyNumberFormat="1" applyFont="1" applyFill="1" applyBorder="1" applyAlignment="1" applyProtection="1">
      <alignment horizontal="left"/>
      <protection hidden="1"/>
    </xf>
    <xf numFmtId="0" fontId="0" fillId="2" borderId="30" xfId="0" applyFill="1" applyBorder="1" applyProtection="1">
      <protection hidden="1"/>
    </xf>
    <xf numFmtId="0" fontId="36" fillId="3" borderId="0" xfId="0" applyFont="1" applyFill="1" applyBorder="1" applyProtection="1">
      <protection hidden="1"/>
    </xf>
    <xf numFmtId="0" fontId="32" fillId="4" borderId="31" xfId="0" applyFont="1" applyFill="1" applyBorder="1" applyAlignment="1" applyProtection="1">
      <alignment horizontal="center"/>
      <protection hidden="1"/>
    </xf>
    <xf numFmtId="0" fontId="32" fillId="4" borderId="32" xfId="0" applyFont="1" applyFill="1" applyBorder="1" applyAlignment="1" applyProtection="1">
      <alignment horizontal="center"/>
      <protection hidden="1"/>
    </xf>
    <xf numFmtId="0" fontId="32" fillId="4" borderId="33" xfId="0" applyFont="1" applyFill="1" applyBorder="1" applyAlignment="1" applyProtection="1">
      <alignment horizontal="center"/>
      <protection hidden="1"/>
    </xf>
    <xf numFmtId="0" fontId="32" fillId="4" borderId="34" xfId="0" applyFont="1" applyFill="1" applyBorder="1" applyAlignment="1" applyProtection="1">
      <alignment horizontal="center"/>
      <protection hidden="1"/>
    </xf>
    <xf numFmtId="164" fontId="19" fillId="2" borderId="1" xfId="0" applyNumberFormat="1" applyFont="1" applyFill="1" applyBorder="1" applyAlignment="1" applyProtection="1">
      <alignment horizontal="left"/>
      <protection hidden="1"/>
    </xf>
    <xf numFmtId="164" fontId="19" fillId="2" borderId="5" xfId="0" applyNumberFormat="1" applyFont="1" applyFill="1" applyBorder="1" applyAlignment="1" applyProtection="1">
      <alignment horizontal="right"/>
      <protection hidden="1"/>
    </xf>
    <xf numFmtId="1" fontId="14" fillId="4" borderId="26" xfId="0" applyNumberFormat="1" applyFont="1" applyFill="1" applyBorder="1" applyAlignment="1" applyProtection="1">
      <alignment horizontal="center"/>
      <protection hidden="1"/>
    </xf>
    <xf numFmtId="1" fontId="14" fillId="4" borderId="27" xfId="0" applyNumberFormat="1" applyFont="1" applyFill="1" applyBorder="1" applyAlignment="1" applyProtection="1">
      <alignment horizontal="center"/>
      <protection hidden="1"/>
    </xf>
    <xf numFmtId="1" fontId="14" fillId="4" borderId="28" xfId="0" applyNumberFormat="1" applyFont="1" applyFill="1" applyBorder="1" applyAlignment="1" applyProtection="1">
      <alignment horizontal="center"/>
      <protection hidden="1"/>
    </xf>
    <xf numFmtId="1" fontId="14" fillId="4" borderId="29" xfId="0" applyNumberFormat="1" applyFont="1" applyFill="1" applyBorder="1" applyAlignment="1" applyProtection="1">
      <alignment horizontal="center"/>
      <protection hidden="1"/>
    </xf>
    <xf numFmtId="164" fontId="19" fillId="2" borderId="6" xfId="0" applyNumberFormat="1" applyFont="1" applyFill="1" applyBorder="1" applyAlignment="1" applyProtection="1">
      <alignment horizontal="left"/>
      <protection hidden="1"/>
    </xf>
    <xf numFmtId="0" fontId="0" fillId="2" borderId="19" xfId="0" applyFill="1" applyBorder="1" applyAlignment="1" applyProtection="1">
      <alignment horizontal="left"/>
      <protection hidden="1"/>
    </xf>
    <xf numFmtId="0" fontId="11" fillId="3" borderId="6" xfId="0" applyFont="1" applyFill="1" applyBorder="1" applyProtection="1">
      <protection hidden="1"/>
    </xf>
    <xf numFmtId="0" fontId="0" fillId="2" borderId="26" xfId="0" applyFill="1" applyBorder="1" applyProtection="1">
      <protection hidden="1"/>
    </xf>
    <xf numFmtId="0" fontId="0" fillId="2" borderId="29" xfId="0" applyFill="1" applyBorder="1" applyAlignment="1" applyProtection="1">
      <alignment horizontal="centerContinuous"/>
      <protection hidden="1"/>
    </xf>
    <xf numFmtId="0" fontId="32" fillId="5" borderId="11" xfId="0" applyFont="1" applyFill="1" applyBorder="1" applyAlignment="1" applyProtection="1">
      <alignment horizontal="center"/>
      <protection hidden="1"/>
    </xf>
    <xf numFmtId="0" fontId="32" fillId="5" borderId="9" xfId="0" applyFont="1" applyFill="1" applyBorder="1" applyAlignment="1" applyProtection="1">
      <alignment horizontal="center"/>
      <protection hidden="1"/>
    </xf>
    <xf numFmtId="0" fontId="32" fillId="5" borderId="8" xfId="0" applyFont="1" applyFill="1" applyBorder="1" applyAlignment="1" applyProtection="1">
      <alignment horizontal="center"/>
      <protection hidden="1"/>
    </xf>
    <xf numFmtId="0" fontId="32" fillId="5" borderId="10" xfId="0" applyFont="1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/>
      <protection hidden="1"/>
    </xf>
    <xf numFmtId="0" fontId="23" fillId="2" borderId="2" xfId="0" applyFont="1" applyFill="1" applyBorder="1" applyProtection="1">
      <protection hidden="1"/>
    </xf>
    <xf numFmtId="164" fontId="19" fillId="2" borderId="2" xfId="0" applyNumberFormat="1" applyFont="1" applyFill="1" applyBorder="1" applyAlignment="1" applyProtection="1">
      <alignment horizontal="left"/>
      <protection hidden="1"/>
    </xf>
    <xf numFmtId="164" fontId="19" fillId="2" borderId="5" xfId="0" applyNumberFormat="1" applyFont="1" applyFill="1" applyBorder="1" applyAlignment="1" applyProtection="1">
      <alignment horizontal="center"/>
      <protection hidden="1"/>
    </xf>
    <xf numFmtId="1" fontId="44" fillId="5" borderId="26" xfId="0" applyNumberFormat="1" applyFont="1" applyFill="1" applyBorder="1" applyAlignment="1" applyProtection="1">
      <alignment horizontal="center"/>
      <protection hidden="1"/>
    </xf>
    <xf numFmtId="1" fontId="44" fillId="5" borderId="27" xfId="0" applyNumberFormat="1" applyFont="1" applyFill="1" applyBorder="1" applyAlignment="1" applyProtection="1">
      <alignment horizontal="center"/>
      <protection hidden="1"/>
    </xf>
    <xf numFmtId="1" fontId="44" fillId="5" borderId="28" xfId="0" applyNumberFormat="1" applyFont="1" applyFill="1" applyBorder="1" applyAlignment="1" applyProtection="1">
      <alignment horizontal="center"/>
      <protection hidden="1"/>
    </xf>
    <xf numFmtId="1" fontId="44" fillId="5" borderId="29" xfId="0" applyNumberFormat="1" applyFont="1" applyFill="1" applyBorder="1" applyAlignment="1" applyProtection="1">
      <alignment horizontal="center"/>
      <protection hidden="1"/>
    </xf>
    <xf numFmtId="0" fontId="4" fillId="2" borderId="0" xfId="0" applyFont="1" applyFill="1" applyBorder="1" applyAlignment="1" applyProtection="1">
      <alignment horizontal="center"/>
      <protection locked="0" hidden="1"/>
    </xf>
    <xf numFmtId="0" fontId="21" fillId="2" borderId="0" xfId="0" applyFont="1" applyFill="1" applyBorder="1" applyAlignment="1" applyProtection="1">
      <alignment horizontal="left"/>
      <protection hidden="1"/>
    </xf>
    <xf numFmtId="0" fontId="18" fillId="2" borderId="0" xfId="0" applyFont="1" applyFill="1" applyBorder="1" applyProtection="1">
      <protection hidden="1"/>
    </xf>
    <xf numFmtId="0" fontId="0" fillId="2" borderId="0" xfId="0" applyFill="1" applyBorder="1" applyAlignment="1" applyProtection="1">
      <alignment horizontal="center"/>
      <protection hidden="1"/>
    </xf>
    <xf numFmtId="0" fontId="0" fillId="2" borderId="19" xfId="0" applyFill="1" applyBorder="1" applyAlignment="1" applyProtection="1">
      <alignment horizontal="centerContinuous"/>
      <protection hidden="1"/>
    </xf>
    <xf numFmtId="0" fontId="0" fillId="3" borderId="0" xfId="0" applyFill="1" applyBorder="1" applyAlignment="1" applyProtection="1">
      <alignment horizontal="right"/>
      <protection hidden="1"/>
    </xf>
    <xf numFmtId="49" fontId="0" fillId="3" borderId="6" xfId="0" applyNumberFormat="1" applyFill="1" applyBorder="1" applyAlignment="1" applyProtection="1">
      <alignment horizontal="left"/>
      <protection hidden="1"/>
    </xf>
    <xf numFmtId="0" fontId="0" fillId="3" borderId="27" xfId="0" applyFill="1" applyBorder="1" applyProtection="1">
      <protection hidden="1"/>
    </xf>
    <xf numFmtId="0" fontId="0" fillId="2" borderId="27" xfId="0" applyFill="1" applyBorder="1" applyProtection="1">
      <protection hidden="1"/>
    </xf>
    <xf numFmtId="0" fontId="4" fillId="2" borderId="27" xfId="0" applyFont="1" applyFill="1" applyBorder="1" applyAlignment="1" applyProtection="1">
      <alignment horizontal="center"/>
      <protection hidden="1"/>
    </xf>
    <xf numFmtId="0" fontId="21" fillId="2" borderId="27" xfId="0" applyFont="1" applyFill="1" applyBorder="1" applyAlignment="1" applyProtection="1">
      <alignment horizontal="left"/>
      <protection hidden="1"/>
    </xf>
    <xf numFmtId="0" fontId="0" fillId="2" borderId="27" xfId="0" applyFill="1" applyBorder="1" applyAlignment="1" applyProtection="1">
      <alignment horizontal="center"/>
      <protection hidden="1"/>
    </xf>
    <xf numFmtId="0" fontId="36" fillId="3" borderId="27" xfId="0" applyFont="1" applyFill="1" applyBorder="1" applyProtection="1">
      <protection hidden="1"/>
    </xf>
    <xf numFmtId="0" fontId="5" fillId="3" borderId="0" xfId="0" applyFont="1" applyFill="1" applyBorder="1" applyProtection="1">
      <protection hidden="1"/>
    </xf>
    <xf numFmtId="0" fontId="1" fillId="3" borderId="0" xfId="0" applyFont="1" applyFill="1" applyBorder="1" applyProtection="1">
      <protection hidden="1"/>
    </xf>
    <xf numFmtId="0" fontId="6" fillId="3" borderId="0" xfId="0" applyFont="1" applyFill="1" applyBorder="1" applyProtection="1">
      <protection locked="0" hidden="1"/>
    </xf>
    <xf numFmtId="0" fontId="36" fillId="0" borderId="35" xfId="0" applyFont="1" applyBorder="1" applyAlignment="1" applyProtection="1">
      <alignment horizontal="center"/>
      <protection hidden="1"/>
    </xf>
    <xf numFmtId="0" fontId="38" fillId="3" borderId="13" xfId="0" applyFont="1" applyFill="1" applyBorder="1" applyAlignment="1" applyProtection="1">
      <alignment horizontal="centerContinuous"/>
      <protection hidden="1"/>
    </xf>
    <xf numFmtId="0" fontId="23" fillId="3" borderId="14" xfId="0" applyFont="1" applyFill="1" applyBorder="1" applyAlignment="1" applyProtection="1">
      <alignment horizontal="centerContinuous"/>
      <protection hidden="1"/>
    </xf>
    <xf numFmtId="0" fontId="0" fillId="0" borderId="36" xfId="0" applyBorder="1" applyAlignment="1" applyProtection="1">
      <alignment horizontal="centerContinuous"/>
      <protection hidden="1"/>
    </xf>
    <xf numFmtId="0" fontId="37" fillId="3" borderId="37" xfId="0" applyFont="1" applyFill="1" applyBorder="1" applyAlignment="1" applyProtection="1">
      <alignment horizontal="centerContinuous"/>
      <protection hidden="1"/>
    </xf>
    <xf numFmtId="0" fontId="0" fillId="3" borderId="38" xfId="0" applyFill="1" applyBorder="1" applyAlignment="1" applyProtection="1">
      <alignment horizontal="center"/>
      <protection hidden="1"/>
    </xf>
    <xf numFmtId="0" fontId="35" fillId="3" borderId="16" xfId="0" applyFont="1" applyFill="1" applyBorder="1" applyAlignment="1" applyProtection="1">
      <alignment horizontal="left"/>
      <protection hidden="1"/>
    </xf>
    <xf numFmtId="0" fontId="0" fillId="3" borderId="17" xfId="0" applyFill="1" applyBorder="1" applyProtection="1">
      <protection hidden="1"/>
    </xf>
    <xf numFmtId="0" fontId="0" fillId="3" borderId="17" xfId="0" applyFill="1" applyBorder="1" applyAlignment="1" applyProtection="1">
      <alignment horizontal="right"/>
      <protection hidden="1"/>
    </xf>
    <xf numFmtId="0" fontId="23" fillId="3" borderId="17" xfId="0" applyFont="1" applyFill="1" applyBorder="1" applyProtection="1">
      <protection hidden="1"/>
    </xf>
    <xf numFmtId="0" fontId="0" fillId="3" borderId="39" xfId="0" applyFill="1" applyBorder="1" applyProtection="1">
      <protection hidden="1"/>
    </xf>
    <xf numFmtId="0" fontId="27" fillId="3" borderId="37" xfId="0" applyFont="1" applyFill="1" applyBorder="1" applyAlignment="1" applyProtection="1">
      <alignment horizontal="center"/>
      <protection hidden="1"/>
    </xf>
    <xf numFmtId="0" fontId="4" fillId="3" borderId="0" xfId="0" applyFont="1" applyFill="1" applyBorder="1" applyAlignment="1" applyProtection="1">
      <alignment horizontal="center"/>
      <protection hidden="1"/>
    </xf>
    <xf numFmtId="0" fontId="0" fillId="3" borderId="40" xfId="0" applyFill="1" applyBorder="1" applyAlignment="1" applyProtection="1">
      <alignment horizontal="center"/>
      <protection hidden="1"/>
    </xf>
    <xf numFmtId="0" fontId="35" fillId="3" borderId="25" xfId="0" applyFont="1" applyFill="1" applyBorder="1" applyAlignment="1" applyProtection="1">
      <alignment horizontal="left"/>
      <protection hidden="1"/>
    </xf>
    <xf numFmtId="0" fontId="0" fillId="3" borderId="7" xfId="0" applyFill="1" applyBorder="1" applyProtection="1">
      <protection hidden="1"/>
    </xf>
    <xf numFmtId="0" fontId="27" fillId="3" borderId="41" xfId="0" applyFont="1" applyFill="1" applyBorder="1" applyAlignment="1" applyProtection="1">
      <alignment horizontal="center"/>
      <protection hidden="1"/>
    </xf>
    <xf numFmtId="0" fontId="15" fillId="2" borderId="42" xfId="0" applyFont="1" applyFill="1" applyBorder="1" applyProtection="1">
      <protection hidden="1"/>
    </xf>
    <xf numFmtId="0" fontId="21" fillId="2" borderId="17" xfId="0" applyFont="1" applyFill="1" applyBorder="1" applyAlignment="1" applyProtection="1">
      <alignment horizontal="left"/>
      <protection hidden="1"/>
    </xf>
    <xf numFmtId="0" fontId="11" fillId="2" borderId="17" xfId="0" applyFont="1" applyFill="1" applyBorder="1" applyProtection="1">
      <protection hidden="1"/>
    </xf>
    <xf numFmtId="0" fontId="11" fillId="2" borderId="35" xfId="0" applyFont="1" applyFill="1" applyBorder="1" applyAlignment="1" applyProtection="1">
      <alignment horizontal="center"/>
      <protection hidden="1"/>
    </xf>
    <xf numFmtId="0" fontId="11" fillId="2" borderId="17" xfId="0" applyFont="1" applyFill="1" applyBorder="1" applyAlignment="1" applyProtection="1">
      <alignment horizontal="centerContinuous"/>
      <protection hidden="1"/>
    </xf>
    <xf numFmtId="0" fontId="9" fillId="2" borderId="17" xfId="0" applyFont="1" applyFill="1" applyBorder="1" applyAlignment="1" applyProtection="1">
      <alignment horizontal="centerContinuous"/>
      <protection hidden="1"/>
    </xf>
    <xf numFmtId="0" fontId="11" fillId="2" borderId="16" xfId="0" applyFont="1" applyFill="1" applyBorder="1" applyAlignment="1" applyProtection="1">
      <alignment horizontal="centerContinuous"/>
      <protection hidden="1"/>
    </xf>
    <xf numFmtId="0" fontId="11" fillId="2" borderId="39" xfId="0" applyFont="1" applyFill="1" applyBorder="1" applyAlignment="1" applyProtection="1">
      <alignment horizontal="centerContinuous"/>
      <protection hidden="1"/>
    </xf>
    <xf numFmtId="0" fontId="18" fillId="2" borderId="42" xfId="0" applyFont="1" applyFill="1" applyBorder="1" applyProtection="1">
      <protection hidden="1"/>
    </xf>
    <xf numFmtId="0" fontId="0" fillId="2" borderId="17" xfId="0" applyFill="1" applyBorder="1" applyProtection="1">
      <protection hidden="1"/>
    </xf>
    <xf numFmtId="0" fontId="4" fillId="2" borderId="40" xfId="0" applyFont="1" applyFill="1" applyBorder="1" applyAlignment="1" applyProtection="1">
      <alignment horizontal="center"/>
      <protection locked="0" hidden="1"/>
    </xf>
    <xf numFmtId="0" fontId="18" fillId="2" borderId="6" xfId="0" applyFont="1" applyFill="1" applyBorder="1" applyProtection="1">
      <protection hidden="1"/>
    </xf>
    <xf numFmtId="0" fontId="11" fillId="2" borderId="0" xfId="0" applyFont="1" applyFill="1" applyBorder="1" applyProtection="1">
      <protection hidden="1"/>
    </xf>
    <xf numFmtId="0" fontId="11" fillId="2" borderId="0" xfId="0" applyFont="1" applyFill="1" applyBorder="1" applyAlignment="1" applyProtection="1">
      <alignment horizontal="centerContinuous"/>
      <protection hidden="1"/>
    </xf>
    <xf numFmtId="0" fontId="11" fillId="2" borderId="7" xfId="0" applyFont="1" applyFill="1" applyBorder="1" applyAlignment="1" applyProtection="1">
      <alignment horizontal="centerContinuous"/>
      <protection hidden="1"/>
    </xf>
    <xf numFmtId="0" fontId="11" fillId="2" borderId="9" xfId="0" applyFont="1" applyFill="1" applyBorder="1" applyProtection="1">
      <protection hidden="1"/>
    </xf>
    <xf numFmtId="0" fontId="4" fillId="2" borderId="43" xfId="0" applyFont="1" applyFill="1" applyBorder="1" applyAlignment="1" applyProtection="1">
      <alignment horizontal="center"/>
      <protection locked="0" hidden="1"/>
    </xf>
    <xf numFmtId="0" fontId="11" fillId="2" borderId="9" xfId="0" applyFont="1" applyFill="1" applyBorder="1" applyAlignment="1" applyProtection="1">
      <alignment horizontal="centerContinuous"/>
      <protection hidden="1"/>
    </xf>
    <xf numFmtId="0" fontId="11" fillId="2" borderId="8" xfId="0" applyFont="1" applyFill="1" applyBorder="1" applyAlignment="1" applyProtection="1">
      <alignment horizontal="centerContinuous"/>
      <protection hidden="1"/>
    </xf>
    <xf numFmtId="0" fontId="11" fillId="2" borderId="12" xfId="0" applyFont="1" applyFill="1" applyBorder="1" applyAlignment="1" applyProtection="1">
      <alignment horizontal="centerContinuous"/>
      <protection hidden="1"/>
    </xf>
    <xf numFmtId="0" fontId="7" fillId="3" borderId="40" xfId="0" applyFont="1" applyFill="1" applyBorder="1" applyAlignment="1" applyProtection="1">
      <alignment horizontal="center"/>
      <protection hidden="1"/>
    </xf>
    <xf numFmtId="0" fontId="9" fillId="3" borderId="0" xfId="0" applyFont="1" applyFill="1" applyBorder="1" applyAlignment="1" applyProtection="1">
      <alignment horizontal="center"/>
      <protection hidden="1"/>
    </xf>
    <xf numFmtId="0" fontId="30" fillId="3" borderId="0" xfId="0" applyFont="1" applyFill="1" applyBorder="1" applyAlignment="1" applyProtection="1">
      <alignment horizontal="center"/>
      <protection hidden="1"/>
    </xf>
    <xf numFmtId="0" fontId="21" fillId="3" borderId="0" xfId="0" applyFont="1" applyFill="1" applyBorder="1" applyProtection="1">
      <protection hidden="1"/>
    </xf>
    <xf numFmtId="0" fontId="11" fillId="3" borderId="44" xfId="0" applyFont="1" applyFill="1" applyBorder="1" applyProtection="1">
      <protection hidden="1"/>
    </xf>
    <xf numFmtId="0" fontId="11" fillId="3" borderId="14" xfId="0" applyFont="1" applyFill="1" applyBorder="1" applyProtection="1">
      <protection hidden="1"/>
    </xf>
    <xf numFmtId="0" fontId="9" fillId="3" borderId="14" xfId="0" applyFont="1" applyFill="1" applyBorder="1" applyAlignment="1" applyProtection="1">
      <alignment horizontal="center"/>
      <protection hidden="1"/>
    </xf>
    <xf numFmtId="0" fontId="30" fillId="3" borderId="14" xfId="0" applyFont="1" applyFill="1" applyBorder="1" applyAlignment="1" applyProtection="1">
      <alignment horizontal="center"/>
      <protection hidden="1"/>
    </xf>
    <xf numFmtId="0" fontId="11" fillId="3" borderId="36" xfId="0" applyFont="1" applyFill="1" applyBorder="1" applyProtection="1">
      <protection hidden="1"/>
    </xf>
    <xf numFmtId="0" fontId="8" fillId="3" borderId="40" xfId="0" applyFont="1" applyFill="1" applyBorder="1" applyAlignment="1" applyProtection="1">
      <alignment horizontal="center"/>
      <protection hidden="1"/>
    </xf>
    <xf numFmtId="0" fontId="7" fillId="3" borderId="44" xfId="0" applyFont="1" applyFill="1" applyBorder="1" applyProtection="1">
      <protection hidden="1"/>
    </xf>
    <xf numFmtId="2" fontId="27" fillId="3" borderId="14" xfId="0" applyNumberFormat="1" applyFont="1" applyFill="1" applyBorder="1" applyProtection="1">
      <protection hidden="1"/>
    </xf>
    <xf numFmtId="0" fontId="7" fillId="3" borderId="14" xfId="0" applyFont="1" applyFill="1" applyBorder="1" applyProtection="1">
      <protection hidden="1"/>
    </xf>
    <xf numFmtId="0" fontId="7" fillId="3" borderId="13" xfId="0" applyFont="1" applyFill="1" applyBorder="1" applyProtection="1">
      <protection hidden="1"/>
    </xf>
    <xf numFmtId="2" fontId="7" fillId="3" borderId="36" xfId="0" applyNumberFormat="1" applyFont="1" applyFill="1" applyBorder="1" applyAlignment="1" applyProtection="1">
      <alignment horizontal="center"/>
      <protection hidden="1"/>
    </xf>
    <xf numFmtId="0" fontId="0" fillId="3" borderId="14" xfId="0" applyFill="1" applyBorder="1" applyProtection="1">
      <protection hidden="1"/>
    </xf>
    <xf numFmtId="165" fontId="11" fillId="3" borderId="14" xfId="0" applyNumberFormat="1" applyFont="1" applyFill="1" applyBorder="1" applyProtection="1">
      <protection hidden="1"/>
    </xf>
    <xf numFmtId="0" fontId="0" fillId="0" borderId="0" xfId="0" applyBorder="1" applyProtection="1">
      <protection hidden="1"/>
    </xf>
    <xf numFmtId="0" fontId="21" fillId="3" borderId="43" xfId="0" applyFont="1" applyFill="1" applyBorder="1" applyAlignment="1" applyProtection="1">
      <alignment horizontal="left"/>
      <protection hidden="1"/>
    </xf>
    <xf numFmtId="0" fontId="35" fillId="3" borderId="8" xfId="0" applyFont="1" applyFill="1" applyBorder="1" applyAlignment="1" applyProtection="1">
      <alignment horizontal="left"/>
      <protection hidden="1"/>
    </xf>
    <xf numFmtId="0" fontId="0" fillId="3" borderId="9" xfId="0" applyFill="1" applyBorder="1" applyProtection="1">
      <protection hidden="1"/>
    </xf>
    <xf numFmtId="0" fontId="0" fillId="3" borderId="9" xfId="0" applyFill="1" applyBorder="1" applyAlignment="1" applyProtection="1">
      <alignment horizontal="right"/>
      <protection hidden="1"/>
    </xf>
    <xf numFmtId="0" fontId="23" fillId="3" borderId="9" xfId="0" applyFont="1" applyFill="1" applyBorder="1" applyProtection="1">
      <protection hidden="1"/>
    </xf>
    <xf numFmtId="0" fontId="0" fillId="3" borderId="12" xfId="0" applyFill="1" applyBorder="1" applyProtection="1">
      <protection hidden="1"/>
    </xf>
    <xf numFmtId="0" fontId="27" fillId="3" borderId="45" xfId="0" applyFont="1" applyFill="1" applyBorder="1" applyAlignment="1" applyProtection="1">
      <alignment horizontal="center"/>
      <protection hidden="1"/>
    </xf>
    <xf numFmtId="0" fontId="0" fillId="3" borderId="26" xfId="0" applyFill="1" applyBorder="1" applyProtection="1">
      <protection hidden="1"/>
    </xf>
    <xf numFmtId="0" fontId="4" fillId="3" borderId="27" xfId="0" applyFont="1" applyFill="1" applyBorder="1" applyAlignment="1" applyProtection="1">
      <alignment horizontal="center"/>
      <protection hidden="1"/>
    </xf>
    <xf numFmtId="0" fontId="21" fillId="3" borderId="27" xfId="0" applyFont="1" applyFill="1" applyBorder="1" applyProtection="1">
      <protection hidden="1"/>
    </xf>
    <xf numFmtId="0" fontId="23" fillId="3" borderId="27" xfId="0" applyFont="1" applyFill="1" applyBorder="1" applyProtection="1">
      <protection hidden="1"/>
    </xf>
    <xf numFmtId="0" fontId="0" fillId="3" borderId="27" xfId="0" applyFill="1" applyBorder="1" applyAlignment="1" applyProtection="1">
      <alignment horizontal="centerContinuous"/>
      <protection hidden="1"/>
    </xf>
    <xf numFmtId="0" fontId="0" fillId="3" borderId="42" xfId="0" applyFill="1" applyBorder="1" applyAlignment="1" applyProtection="1">
      <alignment horizontal="centerContinuous"/>
      <protection hidden="1"/>
    </xf>
    <xf numFmtId="0" fontId="0" fillId="3" borderId="17" xfId="0" applyFill="1" applyBorder="1" applyAlignment="1" applyProtection="1">
      <alignment horizontal="centerContinuous"/>
      <protection hidden="1"/>
    </xf>
    <xf numFmtId="0" fontId="0" fillId="3" borderId="39" xfId="0" applyFill="1" applyBorder="1" applyAlignment="1" applyProtection="1">
      <alignment horizontal="centerContinuous"/>
      <protection hidden="1"/>
    </xf>
    <xf numFmtId="0" fontId="0" fillId="3" borderId="16" xfId="0" applyFill="1" applyBorder="1" applyProtection="1">
      <protection hidden="1"/>
    </xf>
    <xf numFmtId="0" fontId="11" fillId="3" borderId="17" xfId="0" applyFont="1" applyFill="1" applyBorder="1" applyAlignment="1" applyProtection="1">
      <alignment horizontal="center"/>
      <protection hidden="1"/>
    </xf>
    <xf numFmtId="0" fontId="0" fillId="3" borderId="18" xfId="0" applyFill="1" applyBorder="1" applyProtection="1">
      <protection hidden="1"/>
    </xf>
    <xf numFmtId="0" fontId="0" fillId="3" borderId="25" xfId="0" applyFill="1" applyBorder="1" applyProtection="1">
      <protection hidden="1"/>
    </xf>
    <xf numFmtId="0" fontId="0" fillId="3" borderId="0" xfId="0" applyFill="1" applyBorder="1" applyAlignment="1" applyProtection="1">
      <alignment horizontal="centerContinuous"/>
      <protection hidden="1"/>
    </xf>
    <xf numFmtId="0" fontId="0" fillId="3" borderId="0" xfId="0" applyFill="1" applyBorder="1" applyAlignment="1" applyProtection="1">
      <alignment horizontal="left"/>
      <protection hidden="1"/>
    </xf>
    <xf numFmtId="0" fontId="42" fillId="3" borderId="0" xfId="0" applyFont="1" applyFill="1" applyBorder="1" applyAlignment="1" applyProtection="1">
      <alignment horizontal="centerContinuous"/>
      <protection hidden="1"/>
    </xf>
    <xf numFmtId="0" fontId="0" fillId="3" borderId="11" xfId="0" applyFill="1" applyBorder="1" applyProtection="1">
      <protection hidden="1"/>
    </xf>
    <xf numFmtId="0" fontId="0" fillId="3" borderId="42" xfId="0" applyFill="1" applyBorder="1" applyProtection="1">
      <protection hidden="1"/>
    </xf>
    <xf numFmtId="0" fontId="7" fillId="3" borderId="25" xfId="0" applyFont="1" applyFill="1" applyBorder="1" applyProtection="1">
      <protection hidden="1"/>
    </xf>
    <xf numFmtId="0" fontId="11" fillId="3" borderId="16" xfId="0" applyFont="1" applyFill="1" applyBorder="1" applyProtection="1">
      <protection hidden="1"/>
    </xf>
    <xf numFmtId="0" fontId="7" fillId="3" borderId="17" xfId="0" applyFont="1" applyFill="1" applyBorder="1" applyAlignment="1" applyProtection="1">
      <alignment horizontal="center"/>
      <protection hidden="1"/>
    </xf>
    <xf numFmtId="0" fontId="7" fillId="3" borderId="39" xfId="0" applyFont="1" applyFill="1" applyBorder="1" applyAlignment="1" applyProtection="1">
      <alignment horizontal="center"/>
      <protection hidden="1"/>
    </xf>
    <xf numFmtId="0" fontId="5" fillId="3" borderId="11" xfId="0" applyFont="1" applyFill="1" applyBorder="1" applyProtection="1">
      <protection hidden="1"/>
    </xf>
    <xf numFmtId="0" fontId="1" fillId="3" borderId="12" xfId="0" applyFont="1" applyFill="1" applyBorder="1" applyProtection="1">
      <protection hidden="1"/>
    </xf>
    <xf numFmtId="0" fontId="11" fillId="3" borderId="8" xfId="0" applyFont="1" applyFill="1" applyBorder="1" applyAlignment="1" applyProtection="1">
      <alignment horizontal="centerContinuous"/>
      <protection hidden="1"/>
    </xf>
    <xf numFmtId="0" fontId="11" fillId="3" borderId="9" xfId="0" applyFont="1" applyFill="1" applyBorder="1" applyAlignment="1" applyProtection="1">
      <alignment horizontal="centerContinuous"/>
      <protection hidden="1"/>
    </xf>
    <xf numFmtId="0" fontId="11" fillId="3" borderId="12" xfId="0" applyFont="1" applyFill="1" applyBorder="1" applyAlignment="1" applyProtection="1">
      <alignment horizontal="centerContinuous"/>
      <protection hidden="1"/>
    </xf>
    <xf numFmtId="0" fontId="24" fillId="3" borderId="42" xfId="0" applyFont="1" applyFill="1" applyBorder="1" applyAlignment="1" applyProtection="1">
      <alignment horizontal="left"/>
      <protection hidden="1"/>
    </xf>
    <xf numFmtId="2" fontId="11" fillId="3" borderId="16" xfId="0" applyNumberFormat="1" applyFont="1" applyFill="1" applyBorder="1" applyAlignment="1" applyProtection="1">
      <alignment horizontal="centerContinuous"/>
      <protection hidden="1"/>
    </xf>
    <xf numFmtId="0" fontId="48" fillId="3" borderId="0" xfId="0" applyFont="1" applyFill="1" applyBorder="1" applyProtection="1">
      <protection hidden="1"/>
    </xf>
    <xf numFmtId="0" fontId="24" fillId="3" borderId="6" xfId="0" applyFont="1" applyFill="1" applyBorder="1" applyAlignment="1" applyProtection="1">
      <alignment horizontal="left"/>
      <protection hidden="1"/>
    </xf>
    <xf numFmtId="0" fontId="23" fillId="3" borderId="40" xfId="0" applyFont="1" applyFill="1" applyBorder="1" applyAlignment="1" applyProtection="1">
      <alignment horizontal="center"/>
      <protection hidden="1"/>
    </xf>
    <xf numFmtId="2" fontId="21" fillId="3" borderId="25" xfId="0" applyNumberFormat="1" applyFont="1" applyFill="1" applyBorder="1" applyAlignment="1" applyProtection="1">
      <alignment horizontal="centerContinuous"/>
      <protection hidden="1"/>
    </xf>
    <xf numFmtId="0" fontId="21" fillId="3" borderId="7" xfId="0" applyFont="1" applyFill="1" applyBorder="1" applyProtection="1">
      <protection hidden="1"/>
    </xf>
    <xf numFmtId="0" fontId="7" fillId="3" borderId="0" xfId="0" applyFont="1" applyFill="1" applyBorder="1" applyProtection="1">
      <protection hidden="1"/>
    </xf>
    <xf numFmtId="0" fontId="5" fillId="3" borderId="6" xfId="0" applyFont="1" applyFill="1" applyBorder="1" applyProtection="1">
      <protection hidden="1"/>
    </xf>
    <xf numFmtId="0" fontId="21" fillId="3" borderId="38" xfId="0" applyFont="1" applyFill="1" applyBorder="1" applyAlignment="1" applyProtection="1">
      <alignment horizontal="left"/>
      <protection hidden="1"/>
    </xf>
    <xf numFmtId="2" fontId="21" fillId="3" borderId="16" xfId="0" applyNumberFormat="1" applyFont="1" applyFill="1" applyBorder="1" applyAlignment="1" applyProtection="1">
      <alignment horizontal="centerContinuous"/>
      <protection hidden="1"/>
    </xf>
    <xf numFmtId="0" fontId="21" fillId="3" borderId="39" xfId="0" applyFont="1" applyFill="1" applyBorder="1" applyProtection="1">
      <protection hidden="1"/>
    </xf>
    <xf numFmtId="2" fontId="20" fillId="3" borderId="8" xfId="0" applyNumberFormat="1" applyFont="1" applyFill="1" applyBorder="1" applyAlignment="1" applyProtection="1">
      <alignment horizontal="centerContinuous"/>
      <protection hidden="1"/>
    </xf>
    <xf numFmtId="0" fontId="21" fillId="3" borderId="12" xfId="0" applyFont="1" applyFill="1" applyBorder="1" applyProtection="1">
      <protection hidden="1"/>
    </xf>
    <xf numFmtId="0" fontId="46" fillId="3" borderId="0" xfId="0" applyFont="1" applyFill="1" applyBorder="1" applyAlignment="1" applyProtection="1">
      <alignment horizontal="left"/>
      <protection hidden="1"/>
    </xf>
    <xf numFmtId="0" fontId="23" fillId="3" borderId="38" xfId="0" applyFont="1" applyFill="1" applyBorder="1" applyAlignment="1" applyProtection="1">
      <alignment horizontal="center"/>
      <protection hidden="1"/>
    </xf>
    <xf numFmtId="0" fontId="21" fillId="3" borderId="39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Protection="1">
      <protection hidden="1"/>
    </xf>
    <xf numFmtId="0" fontId="46" fillId="3" borderId="9" xfId="0" applyFont="1" applyFill="1" applyBorder="1" applyAlignment="1" applyProtection="1">
      <alignment horizontal="left"/>
      <protection hidden="1"/>
    </xf>
    <xf numFmtId="0" fontId="7" fillId="3" borderId="9" xfId="0" applyFont="1" applyFill="1" applyBorder="1" applyProtection="1">
      <protection hidden="1"/>
    </xf>
    <xf numFmtId="0" fontId="11" fillId="3" borderId="9" xfId="0" applyFont="1" applyFill="1" applyBorder="1" applyProtection="1">
      <protection hidden="1"/>
    </xf>
    <xf numFmtId="0" fontId="0" fillId="3" borderId="10" xfId="0" applyFill="1" applyBorder="1" applyProtection="1">
      <protection hidden="1"/>
    </xf>
    <xf numFmtId="0" fontId="30" fillId="3" borderId="6" xfId="0" applyFont="1" applyFill="1" applyBorder="1" applyAlignment="1" applyProtection="1">
      <alignment horizontal="left"/>
      <protection hidden="1"/>
    </xf>
    <xf numFmtId="0" fontId="48" fillId="3" borderId="25" xfId="0" applyFont="1" applyFill="1" applyBorder="1" applyProtection="1">
      <protection hidden="1"/>
    </xf>
    <xf numFmtId="0" fontId="21" fillId="3" borderId="46" xfId="0" applyFont="1" applyFill="1" applyBorder="1" applyAlignment="1" applyProtection="1">
      <alignment horizontal="left"/>
      <protection hidden="1"/>
    </xf>
    <xf numFmtId="2" fontId="20" fillId="3" borderId="28" xfId="0" applyNumberFormat="1" applyFont="1" applyFill="1" applyBorder="1" applyAlignment="1" applyProtection="1">
      <alignment horizontal="centerContinuous"/>
      <protection hidden="1"/>
    </xf>
    <xf numFmtId="0" fontId="21" fillId="3" borderId="47" xfId="0" applyFont="1" applyFill="1" applyBorder="1" applyAlignment="1" applyProtection="1">
      <alignment horizontal="left"/>
      <protection hidden="1"/>
    </xf>
    <xf numFmtId="0" fontId="0" fillId="3" borderId="28" xfId="0" applyFill="1" applyBorder="1" applyProtection="1">
      <protection hidden="1"/>
    </xf>
    <xf numFmtId="0" fontId="43" fillId="3" borderId="27" xfId="0" applyFont="1" applyFill="1" applyBorder="1" applyAlignment="1" applyProtection="1">
      <alignment horizontal="centerContinuous"/>
      <protection hidden="1"/>
    </xf>
    <xf numFmtId="0" fontId="43" fillId="3" borderId="29" xfId="0" applyFont="1" applyFill="1" applyBorder="1" applyAlignment="1" applyProtection="1">
      <alignment horizontal="centerContinuous"/>
      <protection hidden="1"/>
    </xf>
    <xf numFmtId="0" fontId="34" fillId="3" borderId="9" xfId="0" applyFont="1" applyFill="1" applyBorder="1" applyProtection="1">
      <protection hidden="1"/>
    </xf>
    <xf numFmtId="0" fontId="12" fillId="3" borderId="0" xfId="0" applyFont="1" applyFill="1" applyBorder="1" applyProtection="1">
      <protection hidden="1"/>
    </xf>
    <xf numFmtId="0" fontId="49" fillId="3" borderId="0" xfId="0" applyFont="1" applyFill="1" applyBorder="1" applyProtection="1">
      <protection hidden="1"/>
    </xf>
    <xf numFmtId="0" fontId="47" fillId="3" borderId="0" xfId="0" applyFont="1" applyFill="1" applyBorder="1" applyAlignment="1" applyProtection="1">
      <alignment horizontal="center"/>
      <protection hidden="1"/>
    </xf>
    <xf numFmtId="0" fontId="47" fillId="3" borderId="0" xfId="0" applyFont="1" applyFill="1" applyBorder="1" applyProtection="1">
      <protection hidden="1"/>
    </xf>
    <xf numFmtId="0" fontId="0" fillId="2" borderId="21" xfId="0" applyFill="1" applyBorder="1" applyAlignment="1" applyProtection="1">
      <alignment horizontal="center"/>
      <protection hidden="1"/>
    </xf>
    <xf numFmtId="0" fontId="8" fillId="3" borderId="0" xfId="0" applyFont="1" applyFill="1" applyBorder="1" applyProtection="1">
      <protection hidden="1"/>
    </xf>
    <xf numFmtId="165" fontId="11" fillId="3" borderId="0" xfId="0" applyNumberFormat="1" applyFont="1" applyFill="1" applyBorder="1" applyProtection="1">
      <protection hidden="1"/>
    </xf>
    <xf numFmtId="0" fontId="11" fillId="3" borderId="0" xfId="0" applyFont="1" applyFill="1" applyBorder="1" applyAlignment="1" applyProtection="1">
      <alignment horizontal="center"/>
      <protection hidden="1"/>
    </xf>
    <xf numFmtId="0" fontId="0" fillId="3" borderId="27" xfId="0" applyFill="1" applyBorder="1" applyAlignment="1" applyProtection="1">
      <alignment horizontal="left"/>
      <protection hidden="1"/>
    </xf>
    <xf numFmtId="2" fontId="11" fillId="3" borderId="0" xfId="0" applyNumberFormat="1" applyFont="1" applyFill="1" applyBorder="1" applyProtection="1">
      <protection hidden="1"/>
    </xf>
    <xf numFmtId="0" fontId="11" fillId="3" borderId="0" xfId="0" applyFont="1" applyFill="1" applyBorder="1" applyAlignment="1" applyProtection="1">
      <alignment horizontal="centerContinuous"/>
      <protection hidden="1"/>
    </xf>
    <xf numFmtId="164" fontId="11" fillId="3" borderId="0" xfId="0" applyNumberFormat="1" applyFont="1" applyFill="1" applyBorder="1" applyProtection="1">
      <protection hidden="1"/>
    </xf>
    <xf numFmtId="0" fontId="0" fillId="2" borderId="5" xfId="0" applyFill="1" applyBorder="1" applyAlignment="1" applyProtection="1">
      <alignment horizontal="center"/>
      <protection hidden="1"/>
    </xf>
    <xf numFmtId="0" fontId="0" fillId="2" borderId="6" xfId="0" applyFill="1" applyBorder="1" applyProtection="1">
      <protection hidden="1"/>
    </xf>
    <xf numFmtId="0" fontId="0" fillId="2" borderId="19" xfId="0" applyFill="1" applyBorder="1" applyAlignment="1" applyProtection="1">
      <alignment horizontal="center"/>
      <protection hidden="1"/>
    </xf>
    <xf numFmtId="0" fontId="0" fillId="2" borderId="29" xfId="0" applyFill="1" applyBorder="1" applyProtection="1">
      <protection hidden="1"/>
    </xf>
    <xf numFmtId="2" fontId="25" fillId="3" borderId="9" xfId="0" applyNumberFormat="1" applyFont="1" applyFill="1" applyBorder="1" applyProtection="1">
      <protection hidden="1"/>
    </xf>
    <xf numFmtId="2" fontId="0" fillId="3" borderId="0" xfId="0" applyNumberFormat="1" applyFill="1" applyBorder="1" applyProtection="1">
      <protection hidden="1"/>
    </xf>
    <xf numFmtId="0" fontId="23" fillId="3" borderId="0" xfId="0" applyFont="1" applyFill="1" applyBorder="1" applyAlignment="1" applyProtection="1">
      <alignment horizontal="left"/>
      <protection hidden="1"/>
    </xf>
    <xf numFmtId="0" fontId="22" fillId="3" borderId="0" xfId="0" applyFont="1" applyFill="1" applyBorder="1" applyAlignment="1" applyProtection="1">
      <alignment horizontal="left"/>
      <protection hidden="1"/>
    </xf>
    <xf numFmtId="1" fontId="0" fillId="3" borderId="0" xfId="0" applyNumberFormat="1" applyFill="1" applyBorder="1" applyAlignment="1" applyProtection="1">
      <alignment horizontal="left"/>
      <protection hidden="1"/>
    </xf>
    <xf numFmtId="1" fontId="0" fillId="3" borderId="27" xfId="0" applyNumberFormat="1" applyFill="1" applyBorder="1" applyAlignment="1" applyProtection="1">
      <alignment horizontal="left"/>
      <protection hidden="1"/>
    </xf>
    <xf numFmtId="0" fontId="24" fillId="3" borderId="0" xfId="0" applyFont="1" applyFill="1" applyBorder="1" applyAlignment="1" applyProtection="1">
      <alignment horizontal="center"/>
      <protection hidden="1"/>
    </xf>
    <xf numFmtId="0" fontId="25" fillId="3" borderId="0" xfId="0" applyFont="1" applyFill="1" applyBorder="1" applyProtection="1">
      <protection hidden="1"/>
    </xf>
    <xf numFmtId="0" fontId="36" fillId="3" borderId="35" xfId="0" applyFont="1" applyFill="1" applyBorder="1" applyAlignment="1" applyProtection="1">
      <alignment horizontal="center"/>
      <protection hidden="1"/>
    </xf>
    <xf numFmtId="0" fontId="23" fillId="3" borderId="36" xfId="0" applyFont="1" applyFill="1" applyBorder="1" applyAlignment="1" applyProtection="1">
      <alignment horizontal="centerContinuous"/>
      <protection hidden="1"/>
    </xf>
    <xf numFmtId="0" fontId="35" fillId="3" borderId="0" xfId="0" applyFont="1" applyFill="1" applyBorder="1" applyAlignment="1" applyProtection="1">
      <alignment horizontal="left"/>
      <protection hidden="1"/>
    </xf>
    <xf numFmtId="0" fontId="11" fillId="3" borderId="16" xfId="0" applyFont="1" applyFill="1" applyBorder="1" applyAlignment="1" applyProtection="1">
      <alignment horizontal="centerContinuous"/>
      <protection hidden="1"/>
    </xf>
    <xf numFmtId="0" fontId="9" fillId="3" borderId="39" xfId="0" applyFont="1" applyFill="1" applyBorder="1" applyAlignment="1" applyProtection="1">
      <alignment horizontal="centerContinuous"/>
      <protection hidden="1"/>
    </xf>
    <xf numFmtId="0" fontId="11" fillId="3" borderId="26" xfId="0" applyFont="1" applyFill="1" applyBorder="1" applyProtection="1">
      <protection hidden="1"/>
    </xf>
    <xf numFmtId="0" fontId="11" fillId="3" borderId="28" xfId="0" applyFont="1" applyFill="1" applyBorder="1" applyAlignment="1" applyProtection="1">
      <alignment horizontal="centerContinuous"/>
      <protection hidden="1"/>
    </xf>
    <xf numFmtId="0" fontId="0" fillId="3" borderId="47" xfId="0" applyFill="1" applyBorder="1" applyAlignment="1" applyProtection="1">
      <alignment horizontal="centerContinuous"/>
      <protection hidden="1"/>
    </xf>
    <xf numFmtId="0" fontId="11" fillId="3" borderId="31" xfId="0" applyFont="1" applyFill="1" applyBorder="1" applyProtection="1">
      <protection hidden="1"/>
    </xf>
    <xf numFmtId="0" fontId="11" fillId="3" borderId="32" xfId="0" applyFont="1" applyFill="1" applyBorder="1" applyProtection="1">
      <protection hidden="1"/>
    </xf>
    <xf numFmtId="0" fontId="0" fillId="3" borderId="48" xfId="0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21" fillId="3" borderId="2" xfId="0" applyFont="1" applyFill="1" applyBorder="1" applyAlignment="1" applyProtection="1">
      <alignment horizontal="left"/>
      <protection hidden="1"/>
    </xf>
    <xf numFmtId="0" fontId="0" fillId="3" borderId="2" xfId="0" applyFill="1" applyBorder="1" applyAlignment="1" applyProtection="1">
      <alignment horizontal="centerContinuous"/>
      <protection hidden="1"/>
    </xf>
    <xf numFmtId="0" fontId="27" fillId="3" borderId="5" xfId="0" applyFont="1" applyFill="1" applyBorder="1" applyAlignment="1" applyProtection="1">
      <alignment horizontal="center"/>
      <protection hidden="1"/>
    </xf>
    <xf numFmtId="0" fontId="7" fillId="3" borderId="36" xfId="0" applyFont="1" applyFill="1" applyBorder="1" applyProtection="1">
      <protection hidden="1"/>
    </xf>
    <xf numFmtId="0" fontId="0" fillId="3" borderId="40" xfId="0" applyFill="1" applyBorder="1" applyProtection="1">
      <protection hidden="1"/>
    </xf>
    <xf numFmtId="165" fontId="27" fillId="3" borderId="0" xfId="0" applyNumberFormat="1" applyFont="1" applyFill="1" applyBorder="1" applyProtection="1">
      <protection hidden="1"/>
    </xf>
    <xf numFmtId="0" fontId="23" fillId="3" borderId="6" xfId="0" applyFont="1" applyFill="1" applyBorder="1" applyProtection="1">
      <protection hidden="1"/>
    </xf>
    <xf numFmtId="0" fontId="0" fillId="3" borderId="35" xfId="0" applyFill="1" applyBorder="1" applyProtection="1">
      <protection hidden="1"/>
    </xf>
    <xf numFmtId="0" fontId="21" fillId="3" borderId="42" xfId="0" applyFont="1" applyFill="1" applyBorder="1" applyProtection="1">
      <protection hidden="1"/>
    </xf>
    <xf numFmtId="0" fontId="21" fillId="3" borderId="17" xfId="0" applyFont="1" applyFill="1" applyBorder="1" applyProtection="1">
      <protection hidden="1"/>
    </xf>
    <xf numFmtId="0" fontId="29" fillId="3" borderId="17" xfId="0" applyFont="1" applyFill="1" applyBorder="1" applyProtection="1">
      <protection hidden="1"/>
    </xf>
    <xf numFmtId="0" fontId="29" fillId="3" borderId="39" xfId="0" applyFont="1" applyFill="1" applyBorder="1" applyProtection="1">
      <protection hidden="1"/>
    </xf>
    <xf numFmtId="0" fontId="21" fillId="3" borderId="6" xfId="0" applyFont="1" applyFill="1" applyBorder="1" applyProtection="1">
      <protection hidden="1"/>
    </xf>
    <xf numFmtId="0" fontId="29" fillId="3" borderId="0" xfId="0" applyFont="1" applyFill="1" applyBorder="1" applyProtection="1">
      <protection hidden="1"/>
    </xf>
    <xf numFmtId="0" fontId="29" fillId="3" borderId="7" xfId="0" applyFont="1" applyFill="1" applyBorder="1" applyProtection="1">
      <protection hidden="1"/>
    </xf>
    <xf numFmtId="2" fontId="30" fillId="3" borderId="0" xfId="0" applyNumberFormat="1" applyFont="1" applyFill="1" applyBorder="1" applyAlignment="1" applyProtection="1">
      <alignment horizontal="center"/>
      <protection hidden="1"/>
    </xf>
    <xf numFmtId="2" fontId="30" fillId="3" borderId="0" xfId="0" applyNumberFormat="1" applyFont="1" applyFill="1" applyBorder="1" applyAlignment="1" applyProtection="1">
      <alignment horizontal="centerContinuous"/>
      <protection hidden="1"/>
    </xf>
    <xf numFmtId="0" fontId="0" fillId="3" borderId="26" xfId="0" applyFill="1" applyBorder="1" applyAlignment="1" applyProtection="1">
      <alignment horizontal="centerContinuous"/>
      <protection hidden="1"/>
    </xf>
    <xf numFmtId="0" fontId="21" fillId="3" borderId="11" xfId="0" applyFont="1" applyFill="1" applyBorder="1" applyProtection="1">
      <protection hidden="1"/>
    </xf>
    <xf numFmtId="0" fontId="21" fillId="3" borderId="9" xfId="0" applyFont="1" applyFill="1" applyBorder="1" applyProtection="1">
      <protection hidden="1"/>
    </xf>
    <xf numFmtId="0" fontId="11" fillId="3" borderId="12" xfId="0" applyFont="1" applyFill="1" applyBorder="1" applyProtection="1">
      <protection hidden="1"/>
    </xf>
    <xf numFmtId="9" fontId="0" fillId="3" borderId="14" xfId="1" applyFont="1" applyFill="1" applyBorder="1" applyAlignment="1" applyProtection="1">
      <alignment horizontal="centerContinuous"/>
      <protection hidden="1"/>
    </xf>
    <xf numFmtId="0" fontId="0" fillId="3" borderId="14" xfId="0" applyFill="1" applyBorder="1" applyAlignment="1" applyProtection="1">
      <alignment horizontal="centerContinuous"/>
      <protection hidden="1"/>
    </xf>
    <xf numFmtId="0" fontId="0" fillId="3" borderId="36" xfId="0" applyFill="1" applyBorder="1" applyAlignment="1" applyProtection="1">
      <alignment horizontal="centerContinuous"/>
      <protection hidden="1"/>
    </xf>
    <xf numFmtId="0" fontId="14" fillId="2" borderId="6" xfId="0" applyFont="1" applyFill="1" applyBorder="1" applyAlignment="1" applyProtection="1">
      <alignment horizontal="centerContinuous"/>
      <protection hidden="1"/>
    </xf>
    <xf numFmtId="0" fontId="14" fillId="2" borderId="0" xfId="0" applyFont="1" applyFill="1" applyBorder="1" applyAlignment="1" applyProtection="1">
      <alignment horizontal="centerContinuous"/>
      <protection hidden="1"/>
    </xf>
    <xf numFmtId="0" fontId="11" fillId="2" borderId="25" xfId="0" applyFont="1" applyFill="1" applyBorder="1" applyProtection="1">
      <protection hidden="1"/>
    </xf>
    <xf numFmtId="0" fontId="0" fillId="2" borderId="19" xfId="0" applyFill="1" applyBorder="1" applyProtection="1">
      <protection hidden="1"/>
    </xf>
    <xf numFmtId="0" fontId="11" fillId="3" borderId="42" xfId="0" applyFont="1" applyFill="1" applyBorder="1" applyProtection="1">
      <protection hidden="1"/>
    </xf>
    <xf numFmtId="2" fontId="21" fillId="3" borderId="39" xfId="0" applyNumberFormat="1" applyFont="1" applyFill="1" applyBorder="1" applyAlignment="1" applyProtection="1">
      <alignment horizontal="center"/>
      <protection hidden="1"/>
    </xf>
    <xf numFmtId="0" fontId="11" fillId="3" borderId="27" xfId="0" applyFont="1" applyFill="1" applyBorder="1" applyAlignment="1" applyProtection="1">
      <alignment horizontal="center"/>
      <protection hidden="1"/>
    </xf>
    <xf numFmtId="2" fontId="21" fillId="3" borderId="47" xfId="0" applyNumberFormat="1" applyFont="1" applyFill="1" applyBorder="1" applyAlignment="1" applyProtection="1">
      <alignment horizontal="center"/>
      <protection hidden="1"/>
    </xf>
    <xf numFmtId="0" fontId="14" fillId="2" borderId="26" xfId="0" applyFont="1" applyFill="1" applyBorder="1" applyAlignment="1" applyProtection="1">
      <alignment horizontal="centerContinuous"/>
      <protection hidden="1"/>
    </xf>
    <xf numFmtId="0" fontId="14" fillId="2" borderId="27" xfId="0" applyFont="1" applyFill="1" applyBorder="1" applyAlignment="1" applyProtection="1">
      <alignment horizontal="centerContinuous"/>
      <protection hidden="1"/>
    </xf>
    <xf numFmtId="0" fontId="11" fillId="2" borderId="28" xfId="0" applyFont="1" applyFill="1" applyBorder="1" applyProtection="1">
      <protection hidden="1"/>
    </xf>
    <xf numFmtId="0" fontId="11" fillId="2" borderId="27" xfId="0" applyFont="1" applyFill="1" applyBorder="1" applyProtection="1">
      <protection hidden="1"/>
    </xf>
    <xf numFmtId="0" fontId="1" fillId="2" borderId="1" xfId="0" applyFont="1" applyFill="1" applyBorder="1" applyAlignment="1" applyProtection="1">
      <alignment horizontal="centerContinuous"/>
      <protection hidden="1"/>
    </xf>
    <xf numFmtId="0" fontId="1" fillId="2" borderId="2" xfId="0" applyFont="1" applyFill="1" applyBorder="1" applyAlignment="1" applyProtection="1">
      <alignment horizontal="centerContinuous"/>
      <protection hidden="1"/>
    </xf>
    <xf numFmtId="0" fontId="18" fillId="2" borderId="4" xfId="0" applyFont="1" applyFill="1" applyBorder="1" applyAlignment="1" applyProtection="1">
      <alignment horizontal="centerContinuous"/>
      <protection hidden="1"/>
    </xf>
    <xf numFmtId="0" fontId="0" fillId="2" borderId="3" xfId="0" applyFill="1" applyBorder="1" applyAlignment="1" applyProtection="1">
      <alignment horizontal="centerContinuous"/>
      <protection hidden="1"/>
    </xf>
    <xf numFmtId="0" fontId="17" fillId="2" borderId="1" xfId="0" applyFont="1" applyFill="1" applyBorder="1" applyAlignment="1" applyProtection="1">
      <alignment horizontal="centerContinuous"/>
      <protection hidden="1"/>
    </xf>
    <xf numFmtId="0" fontId="1" fillId="2" borderId="6" xfId="0" applyFont="1" applyFill="1" applyBorder="1" applyAlignment="1" applyProtection="1">
      <alignment horizontal="centerContinuous"/>
      <protection hidden="1"/>
    </xf>
    <xf numFmtId="0" fontId="1" fillId="2" borderId="0" xfId="0" applyFont="1" applyFill="1" applyBorder="1" applyAlignment="1" applyProtection="1">
      <alignment horizontal="centerContinuous"/>
      <protection hidden="1"/>
    </xf>
    <xf numFmtId="0" fontId="18" fillId="2" borderId="25" xfId="0" applyFont="1" applyFill="1" applyBorder="1" applyAlignment="1" applyProtection="1">
      <alignment horizontal="centerContinuous"/>
      <protection hidden="1"/>
    </xf>
    <xf numFmtId="0" fontId="0" fillId="2" borderId="7" xfId="0" applyFill="1" applyBorder="1" applyAlignment="1" applyProtection="1">
      <alignment horizontal="centerContinuous"/>
      <protection hidden="1"/>
    </xf>
    <xf numFmtId="0" fontId="36" fillId="2" borderId="25" xfId="0" applyFont="1" applyFill="1" applyBorder="1" applyAlignment="1" applyProtection="1">
      <alignment horizontal="centerContinuous"/>
      <protection hidden="1"/>
    </xf>
    <xf numFmtId="0" fontId="36" fillId="2" borderId="19" xfId="0" applyFont="1" applyFill="1" applyBorder="1" applyAlignment="1" applyProtection="1">
      <alignment horizontal="centerContinuous"/>
      <protection hidden="1"/>
    </xf>
    <xf numFmtId="0" fontId="11" fillId="2" borderId="49" xfId="0" applyFont="1" applyFill="1" applyBorder="1" applyAlignment="1" applyProtection="1">
      <alignment horizontal="center"/>
      <protection hidden="1"/>
    </xf>
    <xf numFmtId="0" fontId="11" fillId="2" borderId="16" xfId="0" applyFont="1" applyFill="1" applyBorder="1" applyAlignment="1" applyProtection="1">
      <alignment horizontal="center"/>
      <protection hidden="1"/>
    </xf>
    <xf numFmtId="0" fontId="11" fillId="2" borderId="17" xfId="0" applyFont="1" applyFill="1" applyBorder="1" applyAlignment="1" applyProtection="1">
      <alignment horizontal="center"/>
      <protection hidden="1"/>
    </xf>
    <xf numFmtId="0" fontId="11" fillId="2" borderId="18" xfId="0" applyFont="1" applyFill="1" applyBorder="1" applyAlignment="1" applyProtection="1">
      <alignment horizontal="center"/>
      <protection hidden="1"/>
    </xf>
    <xf numFmtId="0" fontId="1" fillId="2" borderId="26" xfId="0" applyFont="1" applyFill="1" applyBorder="1" applyAlignment="1" applyProtection="1">
      <alignment horizontal="centerContinuous"/>
      <protection hidden="1"/>
    </xf>
    <xf numFmtId="0" fontId="1" fillId="2" borderId="27" xfId="0" applyFont="1" applyFill="1" applyBorder="1" applyAlignment="1" applyProtection="1">
      <alignment horizontal="centerContinuous"/>
      <protection hidden="1"/>
    </xf>
    <xf numFmtId="0" fontId="11" fillId="2" borderId="28" xfId="0" applyFont="1" applyFill="1" applyBorder="1" applyAlignment="1" applyProtection="1">
      <alignment horizontal="centerContinuous"/>
      <protection hidden="1"/>
    </xf>
    <xf numFmtId="0" fontId="11" fillId="2" borderId="47" xfId="0" applyFont="1" applyFill="1" applyBorder="1" applyAlignment="1" applyProtection="1">
      <alignment horizontal="centerContinuous"/>
      <protection hidden="1"/>
    </xf>
    <xf numFmtId="0" fontId="11" fillId="2" borderId="27" xfId="0" applyFont="1" applyFill="1" applyBorder="1" applyAlignment="1" applyProtection="1">
      <alignment horizontal="center"/>
      <protection hidden="1"/>
    </xf>
    <xf numFmtId="0" fontId="11" fillId="2" borderId="29" xfId="0" applyFont="1" applyFill="1" applyBorder="1" applyProtection="1">
      <protection hidden="1"/>
    </xf>
    <xf numFmtId="0" fontId="8" fillId="2" borderId="50" xfId="0" applyFont="1" applyFill="1" applyBorder="1" applyAlignment="1" applyProtection="1">
      <alignment horizontal="center"/>
      <protection hidden="1"/>
    </xf>
    <xf numFmtId="0" fontId="7" fillId="2" borderId="28" xfId="0" applyFont="1" applyFill="1" applyBorder="1" applyAlignment="1" applyProtection="1">
      <alignment horizontal="center"/>
      <protection hidden="1"/>
    </xf>
    <xf numFmtId="0" fontId="7" fillId="2" borderId="27" xfId="0" applyFont="1" applyFill="1" applyBorder="1" applyAlignment="1" applyProtection="1">
      <alignment horizontal="center"/>
      <protection hidden="1"/>
    </xf>
    <xf numFmtId="0" fontId="7" fillId="2" borderId="29" xfId="0" applyFont="1" applyFill="1" applyBorder="1" applyAlignment="1" applyProtection="1">
      <alignment horizontal="center"/>
      <protection hidden="1"/>
    </xf>
    <xf numFmtId="2" fontId="11" fillId="4" borderId="25" xfId="0" applyNumberFormat="1" applyFont="1" applyFill="1" applyBorder="1" applyAlignment="1" applyProtection="1">
      <alignment horizontal="centerContinuous"/>
      <protection hidden="1"/>
    </xf>
    <xf numFmtId="0" fontId="11" fillId="4" borderId="7" xfId="0" applyFont="1" applyFill="1" applyBorder="1" applyAlignment="1" applyProtection="1">
      <alignment horizontal="centerContinuous"/>
      <protection hidden="1"/>
    </xf>
    <xf numFmtId="2" fontId="11" fillId="4" borderId="17" xfId="0" applyNumberFormat="1" applyFont="1" applyFill="1" applyBorder="1" applyAlignment="1" applyProtection="1">
      <alignment horizontal="centerContinuous"/>
      <protection hidden="1"/>
    </xf>
    <xf numFmtId="0" fontId="19" fillId="2" borderId="51" xfId="0" applyFont="1" applyFill="1" applyBorder="1" applyAlignment="1" applyProtection="1">
      <alignment horizontal="center"/>
      <protection hidden="1"/>
    </xf>
    <xf numFmtId="164" fontId="11" fillId="2" borderId="25" xfId="0" applyNumberFormat="1" applyFont="1" applyFill="1" applyBorder="1" applyAlignment="1" applyProtection="1">
      <alignment horizontal="center"/>
      <protection hidden="1"/>
    </xf>
    <xf numFmtId="164" fontId="11" fillId="2" borderId="0" xfId="0" applyNumberFormat="1" applyFont="1" applyFill="1" applyBorder="1" applyAlignment="1" applyProtection="1">
      <alignment horizontal="center"/>
      <protection hidden="1"/>
    </xf>
    <xf numFmtId="164" fontId="11" fillId="2" borderId="19" xfId="0" applyNumberFormat="1" applyFont="1" applyFill="1" applyBorder="1" applyAlignment="1" applyProtection="1">
      <alignment horizontal="center"/>
      <protection hidden="1"/>
    </xf>
    <xf numFmtId="0" fontId="0" fillId="4" borderId="6" xfId="0" applyFill="1" applyBorder="1" applyProtection="1">
      <protection hidden="1"/>
    </xf>
    <xf numFmtId="0" fontId="0" fillId="4" borderId="7" xfId="0" applyFill="1" applyBorder="1" applyProtection="1">
      <protection hidden="1"/>
    </xf>
    <xf numFmtId="0" fontId="11" fillId="4" borderId="19" xfId="0" applyFont="1" applyFill="1" applyBorder="1" applyAlignment="1" applyProtection="1">
      <alignment horizontal="left"/>
      <protection hidden="1"/>
    </xf>
    <xf numFmtId="0" fontId="19" fillId="2" borderId="52" xfId="0" applyFont="1" applyFill="1" applyBorder="1" applyAlignment="1" applyProtection="1">
      <alignment horizontal="center"/>
      <protection hidden="1"/>
    </xf>
    <xf numFmtId="2" fontId="11" fillId="2" borderId="8" xfId="0" applyNumberFormat="1" applyFont="1" applyFill="1" applyBorder="1" applyAlignment="1" applyProtection="1">
      <alignment horizontal="center"/>
      <protection hidden="1"/>
    </xf>
    <xf numFmtId="2" fontId="11" fillId="2" borderId="9" xfId="0" applyNumberFormat="1" applyFont="1" applyFill="1" applyBorder="1" applyAlignment="1" applyProtection="1">
      <alignment horizontal="center"/>
      <protection hidden="1"/>
    </xf>
    <xf numFmtId="2" fontId="11" fillId="2" borderId="10" xfId="0" applyNumberFormat="1" applyFont="1" applyFill="1" applyBorder="1" applyAlignment="1" applyProtection="1">
      <alignment horizontal="center"/>
      <protection hidden="1"/>
    </xf>
    <xf numFmtId="2" fontId="11" fillId="4" borderId="8" xfId="0" applyNumberFormat="1" applyFont="1" applyFill="1" applyBorder="1" applyAlignment="1" applyProtection="1">
      <alignment horizontal="centerContinuous"/>
      <protection hidden="1"/>
    </xf>
    <xf numFmtId="0" fontId="11" fillId="4" borderId="12" xfId="0" applyFont="1" applyFill="1" applyBorder="1" applyAlignment="1" applyProtection="1">
      <alignment horizontal="centerContinuous"/>
      <protection hidden="1"/>
    </xf>
    <xf numFmtId="2" fontId="11" fillId="4" borderId="9" xfId="0" applyNumberFormat="1" applyFont="1" applyFill="1" applyBorder="1" applyAlignment="1" applyProtection="1">
      <alignment horizontal="centerContinuous"/>
      <protection hidden="1"/>
    </xf>
    <xf numFmtId="0" fontId="11" fillId="4" borderId="10" xfId="0" applyFont="1" applyFill="1" applyBorder="1" applyAlignment="1" applyProtection="1">
      <alignment horizontal="left"/>
      <protection hidden="1"/>
    </xf>
    <xf numFmtId="0" fontId="30" fillId="4" borderId="44" xfId="0" applyFont="1" applyFill="1" applyBorder="1" applyAlignment="1" applyProtection="1">
      <alignment horizontal="centerContinuous"/>
      <protection hidden="1"/>
    </xf>
    <xf numFmtId="0" fontId="0" fillId="4" borderId="14" xfId="0" applyFill="1" applyBorder="1" applyAlignment="1" applyProtection="1">
      <alignment horizontal="centerContinuous"/>
      <protection hidden="1"/>
    </xf>
    <xf numFmtId="0" fontId="0" fillId="4" borderId="15" xfId="0" applyFill="1" applyBorder="1" applyAlignment="1" applyProtection="1">
      <alignment horizontal="centerContinuous"/>
      <protection hidden="1"/>
    </xf>
    <xf numFmtId="0" fontId="0" fillId="4" borderId="17" xfId="0" applyFill="1" applyBorder="1" applyProtection="1">
      <protection hidden="1"/>
    </xf>
    <xf numFmtId="165" fontId="11" fillId="4" borderId="9" xfId="0" applyNumberFormat="1" applyFont="1" applyFill="1" applyBorder="1" applyAlignment="1" applyProtection="1">
      <alignment horizontal="center"/>
      <protection hidden="1"/>
    </xf>
    <xf numFmtId="0" fontId="11" fillId="4" borderId="16" xfId="0" applyFont="1" applyFill="1" applyBorder="1" applyAlignment="1" applyProtection="1">
      <alignment horizontal="left"/>
      <protection hidden="1"/>
    </xf>
    <xf numFmtId="0" fontId="11" fillId="4" borderId="17" xfId="0" applyFont="1" applyFill="1" applyBorder="1" applyAlignment="1" applyProtection="1">
      <alignment horizontal="centerContinuous"/>
      <protection hidden="1"/>
    </xf>
    <xf numFmtId="0" fontId="0" fillId="4" borderId="17" xfId="0" applyFill="1" applyBorder="1" applyAlignment="1" applyProtection="1">
      <alignment horizontal="centerContinuous"/>
      <protection hidden="1"/>
    </xf>
    <xf numFmtId="0" fontId="11" fillId="4" borderId="18" xfId="0" applyFont="1" applyFill="1" applyBorder="1" applyProtection="1">
      <protection hidden="1"/>
    </xf>
    <xf numFmtId="0" fontId="27" fillId="4" borderId="49" xfId="0" applyFont="1" applyFill="1" applyBorder="1" applyAlignment="1" applyProtection="1">
      <alignment horizontal="center"/>
      <protection hidden="1"/>
    </xf>
    <xf numFmtId="0" fontId="32" fillId="4" borderId="16" xfId="0" applyFont="1" applyFill="1" applyBorder="1" applyAlignment="1" applyProtection="1">
      <alignment horizontal="center"/>
      <protection hidden="1"/>
    </xf>
    <xf numFmtId="0" fontId="32" fillId="4" borderId="17" xfId="0" applyFont="1" applyFill="1" applyBorder="1" applyAlignment="1" applyProtection="1">
      <alignment horizontal="center"/>
      <protection hidden="1"/>
    </xf>
    <xf numFmtId="0" fontId="32" fillId="4" borderId="18" xfId="0" applyFont="1" applyFill="1" applyBorder="1" applyAlignment="1" applyProtection="1">
      <alignment horizontal="center"/>
      <protection hidden="1"/>
    </xf>
    <xf numFmtId="0" fontId="36" fillId="4" borderId="53" xfId="0" applyFont="1" applyFill="1" applyBorder="1" applyProtection="1">
      <protection hidden="1"/>
    </xf>
    <xf numFmtId="0" fontId="36" fillId="4" borderId="54" xfId="0" applyFont="1" applyFill="1" applyBorder="1" applyProtection="1">
      <protection hidden="1"/>
    </xf>
    <xf numFmtId="165" fontId="36" fillId="4" borderId="54" xfId="0" applyNumberFormat="1" applyFont="1" applyFill="1" applyBorder="1" applyProtection="1">
      <protection hidden="1"/>
    </xf>
    <xf numFmtId="0" fontId="36" fillId="4" borderId="55" xfId="0" applyFont="1" applyFill="1" applyBorder="1" applyAlignment="1" applyProtection="1">
      <alignment horizontal="center"/>
      <protection hidden="1"/>
    </xf>
    <xf numFmtId="0" fontId="11" fillId="4" borderId="28" xfId="0" applyFont="1" applyFill="1" applyBorder="1" applyAlignment="1" applyProtection="1">
      <alignment horizontal="left"/>
      <protection hidden="1"/>
    </xf>
    <xf numFmtId="0" fontId="0" fillId="4" borderId="27" xfId="0" applyFill="1" applyBorder="1" applyAlignment="1" applyProtection="1">
      <alignment horizontal="centerContinuous"/>
      <protection hidden="1"/>
    </xf>
    <xf numFmtId="0" fontId="11" fillId="4" borderId="27" xfId="0" applyFont="1" applyFill="1" applyBorder="1" applyAlignment="1" applyProtection="1">
      <alignment horizontal="left"/>
      <protection hidden="1"/>
    </xf>
    <xf numFmtId="0" fontId="11" fillId="4" borderId="27" xfId="0" applyFont="1" applyFill="1" applyBorder="1" applyProtection="1">
      <protection hidden="1"/>
    </xf>
    <xf numFmtId="0" fontId="11" fillId="4" borderId="29" xfId="0" applyFont="1" applyFill="1" applyBorder="1" applyProtection="1">
      <protection hidden="1"/>
    </xf>
    <xf numFmtId="2" fontId="13" fillId="4" borderId="50" xfId="0" applyNumberFormat="1" applyFont="1" applyFill="1" applyBorder="1" applyAlignment="1" applyProtection="1">
      <alignment horizontal="center"/>
      <protection hidden="1"/>
    </xf>
    <xf numFmtId="0" fontId="0" fillId="5" borderId="42" xfId="0" applyFill="1" applyBorder="1" applyProtection="1">
      <protection hidden="1"/>
    </xf>
    <xf numFmtId="0" fontId="0" fillId="5" borderId="39" xfId="0" applyFill="1" applyBorder="1" applyProtection="1">
      <protection hidden="1"/>
    </xf>
    <xf numFmtId="2" fontId="11" fillId="5" borderId="16" xfId="0" applyNumberFormat="1" applyFont="1" applyFill="1" applyBorder="1" applyAlignment="1" applyProtection="1">
      <alignment horizontal="centerContinuous"/>
      <protection hidden="1"/>
    </xf>
    <xf numFmtId="2" fontId="11" fillId="5" borderId="39" xfId="0" applyNumberFormat="1" applyFont="1" applyFill="1" applyBorder="1" applyAlignment="1" applyProtection="1">
      <alignment horizontal="centerContinuous"/>
      <protection hidden="1"/>
    </xf>
    <xf numFmtId="2" fontId="21" fillId="5" borderId="17" xfId="0" applyNumberFormat="1" applyFont="1" applyFill="1" applyBorder="1" applyAlignment="1" applyProtection="1">
      <alignment horizontal="centerContinuous"/>
      <protection hidden="1"/>
    </xf>
    <xf numFmtId="0" fontId="11" fillId="5" borderId="18" xfId="0" applyFont="1" applyFill="1" applyBorder="1" applyAlignment="1" applyProtection="1">
      <alignment horizontal="left"/>
      <protection hidden="1"/>
    </xf>
    <xf numFmtId="0" fontId="11" fillId="2" borderId="42" xfId="0" applyFont="1" applyFill="1" applyBorder="1" applyProtection="1">
      <protection hidden="1"/>
    </xf>
    <xf numFmtId="0" fontId="7" fillId="2" borderId="17" xfId="0" applyFont="1" applyFill="1" applyBorder="1" applyAlignment="1" applyProtection="1">
      <alignment horizontal="center"/>
      <protection hidden="1"/>
    </xf>
    <xf numFmtId="0" fontId="7" fillId="2" borderId="18" xfId="0" applyFont="1" applyFill="1" applyBorder="1" applyAlignment="1" applyProtection="1">
      <alignment horizontal="center"/>
      <protection hidden="1"/>
    </xf>
    <xf numFmtId="0" fontId="0" fillId="5" borderId="7" xfId="0" applyFill="1" applyBorder="1" applyProtection="1">
      <protection hidden="1"/>
    </xf>
    <xf numFmtId="2" fontId="11" fillId="5" borderId="25" xfId="0" applyNumberFormat="1" applyFont="1" applyFill="1" applyBorder="1" applyAlignment="1" applyProtection="1">
      <alignment horizontal="centerContinuous"/>
      <protection hidden="1"/>
    </xf>
    <xf numFmtId="2" fontId="11" fillId="5" borderId="7" xfId="0" applyNumberFormat="1" applyFont="1" applyFill="1" applyBorder="1" applyAlignment="1" applyProtection="1">
      <alignment horizontal="centerContinuous"/>
      <protection hidden="1"/>
    </xf>
    <xf numFmtId="2" fontId="21" fillId="5" borderId="0" xfId="0" applyNumberFormat="1" applyFont="1" applyFill="1" applyBorder="1" applyAlignment="1" applyProtection="1">
      <alignment horizontal="centerContinuous"/>
      <protection hidden="1"/>
    </xf>
    <xf numFmtId="0" fontId="11" fillId="5" borderId="19" xfId="0" applyFont="1" applyFill="1" applyBorder="1" applyAlignment="1" applyProtection="1">
      <alignment horizontal="left"/>
      <protection hidden="1"/>
    </xf>
    <xf numFmtId="0" fontId="11" fillId="2" borderId="11" xfId="0" applyFont="1" applyFill="1" applyBorder="1" applyAlignment="1" applyProtection="1">
      <alignment horizontal="centerContinuous"/>
      <protection hidden="1"/>
    </xf>
    <xf numFmtId="0" fontId="11" fillId="2" borderId="10" xfId="0" applyFont="1" applyFill="1" applyBorder="1" applyAlignment="1" applyProtection="1">
      <alignment horizontal="centerContinuous"/>
      <protection hidden="1"/>
    </xf>
    <xf numFmtId="2" fontId="11" fillId="5" borderId="8" xfId="0" applyNumberFormat="1" applyFont="1" applyFill="1" applyBorder="1" applyAlignment="1" applyProtection="1">
      <alignment horizontal="centerContinuous"/>
      <protection hidden="1"/>
    </xf>
    <xf numFmtId="2" fontId="11" fillId="5" borderId="12" xfId="0" applyNumberFormat="1" applyFont="1" applyFill="1" applyBorder="1" applyAlignment="1" applyProtection="1">
      <alignment horizontal="centerContinuous"/>
      <protection hidden="1"/>
    </xf>
    <xf numFmtId="2" fontId="21" fillId="5" borderId="9" xfId="0" applyNumberFormat="1" applyFont="1" applyFill="1" applyBorder="1" applyAlignment="1" applyProtection="1">
      <alignment horizontal="centerContinuous"/>
      <protection hidden="1"/>
    </xf>
    <xf numFmtId="0" fontId="11" fillId="5" borderId="10" xfId="0" applyFont="1" applyFill="1" applyBorder="1" applyAlignment="1" applyProtection="1">
      <alignment horizontal="left"/>
      <protection hidden="1"/>
    </xf>
    <xf numFmtId="0" fontId="30" fillId="5" borderId="44" xfId="0" applyFont="1" applyFill="1" applyBorder="1" applyAlignment="1" applyProtection="1">
      <alignment horizontal="centerContinuous"/>
      <protection hidden="1"/>
    </xf>
    <xf numFmtId="0" fontId="11" fillId="5" borderId="14" xfId="0" applyFont="1" applyFill="1" applyBorder="1" applyAlignment="1" applyProtection="1">
      <alignment horizontal="centerContinuous"/>
      <protection hidden="1"/>
    </xf>
    <xf numFmtId="0" fontId="11" fillId="5" borderId="15" xfId="0" applyFont="1" applyFill="1" applyBorder="1" applyAlignment="1" applyProtection="1">
      <alignment horizontal="centerContinuous"/>
      <protection hidden="1"/>
    </xf>
    <xf numFmtId="0" fontId="21" fillId="5" borderId="42" xfId="0" applyFont="1" applyFill="1" applyBorder="1" applyProtection="1">
      <protection hidden="1"/>
    </xf>
    <xf numFmtId="0" fontId="0" fillId="5" borderId="17" xfId="0" applyFill="1" applyBorder="1" applyProtection="1">
      <protection hidden="1"/>
    </xf>
    <xf numFmtId="0" fontId="11" fillId="5" borderId="39" xfId="0" applyFont="1" applyFill="1" applyBorder="1" applyProtection="1">
      <protection hidden="1"/>
    </xf>
    <xf numFmtId="0" fontId="11" fillId="5" borderId="17" xfId="0" applyFont="1" applyFill="1" applyBorder="1" applyAlignment="1" applyProtection="1">
      <alignment horizontal="left"/>
      <protection hidden="1"/>
    </xf>
    <xf numFmtId="0" fontId="0" fillId="5" borderId="0" xfId="0" applyFill="1" applyBorder="1" applyProtection="1">
      <protection hidden="1"/>
    </xf>
    <xf numFmtId="0" fontId="11" fillId="5" borderId="17" xfId="0" applyFont="1" applyFill="1" applyBorder="1" applyAlignment="1" applyProtection="1">
      <alignment horizontal="centerContinuous"/>
      <protection hidden="1"/>
    </xf>
    <xf numFmtId="0" fontId="0" fillId="5" borderId="17" xfId="0" applyFill="1" applyBorder="1" applyAlignment="1" applyProtection="1">
      <alignment horizontal="centerContinuous"/>
      <protection hidden="1"/>
    </xf>
    <xf numFmtId="0" fontId="0" fillId="5" borderId="0" xfId="0" applyFill="1" applyBorder="1" applyAlignment="1" applyProtection="1">
      <alignment horizontal="centerContinuous"/>
      <protection hidden="1"/>
    </xf>
    <xf numFmtId="0" fontId="33" fillId="5" borderId="0" xfId="0" applyFont="1" applyFill="1" applyBorder="1" applyAlignment="1" applyProtection="1">
      <alignment horizontal="center"/>
      <protection hidden="1"/>
    </xf>
    <xf numFmtId="0" fontId="33" fillId="5" borderId="16" xfId="0" applyFont="1" applyFill="1" applyBorder="1" applyAlignment="1" applyProtection="1">
      <alignment horizontal="center"/>
      <protection hidden="1"/>
    </xf>
    <xf numFmtId="0" fontId="33" fillId="5" borderId="17" xfId="0" applyFont="1" applyFill="1" applyBorder="1" applyAlignment="1" applyProtection="1">
      <alignment horizontal="center"/>
      <protection hidden="1"/>
    </xf>
    <xf numFmtId="0" fontId="33" fillId="5" borderId="18" xfId="0" applyFont="1" applyFill="1" applyBorder="1" applyAlignment="1" applyProtection="1">
      <alignment horizontal="center"/>
      <protection hidden="1"/>
    </xf>
    <xf numFmtId="0" fontId="36" fillId="5" borderId="53" xfId="0" applyFont="1" applyFill="1" applyBorder="1" applyProtection="1">
      <protection hidden="1"/>
    </xf>
    <xf numFmtId="0" fontId="36" fillId="5" borderId="54" xfId="0" applyFont="1" applyFill="1" applyBorder="1" applyProtection="1">
      <protection hidden="1"/>
    </xf>
    <xf numFmtId="165" fontId="36" fillId="5" borderId="55" xfId="0" applyNumberFormat="1" applyFont="1" applyFill="1" applyBorder="1" applyAlignment="1" applyProtection="1">
      <alignment horizontal="center"/>
      <protection hidden="1"/>
    </xf>
    <xf numFmtId="2" fontId="11" fillId="5" borderId="27" xfId="0" applyNumberFormat="1" applyFont="1" applyFill="1" applyBorder="1" applyAlignment="1" applyProtection="1">
      <alignment horizontal="centerContinuous"/>
      <protection hidden="1"/>
    </xf>
    <xf numFmtId="0" fontId="11" fillId="5" borderId="28" xfId="0" applyFont="1" applyFill="1" applyBorder="1" applyAlignment="1" applyProtection="1">
      <alignment horizontal="left"/>
      <protection hidden="1"/>
    </xf>
    <xf numFmtId="0" fontId="0" fillId="5" borderId="27" xfId="0" applyFill="1" applyBorder="1" applyProtection="1">
      <protection hidden="1"/>
    </xf>
    <xf numFmtId="0" fontId="11" fillId="5" borderId="27" xfId="0" applyFont="1" applyFill="1" applyBorder="1" applyAlignment="1" applyProtection="1">
      <alignment horizontal="left"/>
      <protection hidden="1"/>
    </xf>
    <xf numFmtId="0" fontId="0" fillId="5" borderId="27" xfId="0" applyFill="1" applyBorder="1" applyAlignment="1" applyProtection="1">
      <alignment horizontal="centerContinuous"/>
      <protection hidden="1"/>
    </xf>
    <xf numFmtId="0" fontId="11" fillId="5" borderId="27" xfId="0" applyFont="1" applyFill="1" applyBorder="1" applyProtection="1">
      <protection hidden="1"/>
    </xf>
    <xf numFmtId="2" fontId="20" fillId="5" borderId="27" xfId="0" applyNumberFormat="1" applyFont="1" applyFill="1" applyBorder="1" applyAlignment="1" applyProtection="1">
      <alignment horizontal="centerContinuous"/>
      <protection hidden="1"/>
    </xf>
    <xf numFmtId="0" fontId="11" fillId="5" borderId="29" xfId="0" applyFont="1" applyFill="1" applyBorder="1" applyAlignment="1" applyProtection="1">
      <alignment horizontal="left"/>
      <protection hidden="1"/>
    </xf>
    <xf numFmtId="2" fontId="13" fillId="5" borderId="50" xfId="0" applyNumberFormat="1" applyFont="1" applyFill="1" applyBorder="1" applyAlignment="1" applyProtection="1">
      <alignment horizontal="center"/>
      <protection hidden="1"/>
    </xf>
    <xf numFmtId="1" fontId="14" fillId="5" borderId="28" xfId="0" applyNumberFormat="1" applyFont="1" applyFill="1" applyBorder="1" applyAlignment="1" applyProtection="1">
      <alignment horizontal="center"/>
      <protection hidden="1"/>
    </xf>
    <xf numFmtId="1" fontId="14" fillId="5" borderId="27" xfId="0" applyNumberFormat="1" applyFont="1" applyFill="1" applyBorder="1" applyAlignment="1" applyProtection="1">
      <alignment horizontal="center"/>
      <protection hidden="1"/>
    </xf>
    <xf numFmtId="1" fontId="14" fillId="5" borderId="29" xfId="0" applyNumberFormat="1" applyFont="1" applyFill="1" applyBorder="1" applyAlignment="1" applyProtection="1">
      <alignment horizontal="center"/>
      <protection hidden="1"/>
    </xf>
    <xf numFmtId="2" fontId="21" fillId="3" borderId="17" xfId="0" applyNumberFormat="1" applyFont="1" applyFill="1" applyBorder="1" applyAlignment="1" applyProtection="1">
      <alignment horizontal="centerContinuous"/>
      <protection hidden="1"/>
    </xf>
    <xf numFmtId="0" fontId="11" fillId="3" borderId="8" xfId="0" applyFont="1" applyFill="1" applyBorder="1" applyProtection="1">
      <protection hidden="1"/>
    </xf>
    <xf numFmtId="2" fontId="21" fillId="3" borderId="9" xfId="0" applyNumberFormat="1" applyFont="1" applyFill="1" applyBorder="1" applyAlignment="1" applyProtection="1">
      <alignment horizontal="centerContinuous"/>
      <protection hidden="1"/>
    </xf>
    <xf numFmtId="0" fontId="0" fillId="3" borderId="12" xfId="0" applyFill="1" applyBorder="1" applyAlignment="1" applyProtection="1">
      <alignment horizontal="centerContinuous"/>
      <protection hidden="1"/>
    </xf>
    <xf numFmtId="0" fontId="21" fillId="3" borderId="43" xfId="0" applyFont="1" applyFill="1" applyBorder="1" applyAlignment="1" applyProtection="1">
      <alignment horizontal="center"/>
      <protection hidden="1"/>
    </xf>
    <xf numFmtId="0" fontId="50" fillId="3" borderId="0" xfId="0" applyFont="1" applyFill="1" applyBorder="1" applyProtection="1">
      <protection hidden="1"/>
    </xf>
    <xf numFmtId="0" fontId="50" fillId="3" borderId="0" xfId="0" applyFont="1" applyFill="1" applyProtection="1">
      <protection hidden="1"/>
    </xf>
    <xf numFmtId="0" fontId="0" fillId="0" borderId="0" xfId="0" applyAlignment="1">
      <alignment horizontal="centerContinuous"/>
    </xf>
    <xf numFmtId="0" fontId="51" fillId="0" borderId="0" xfId="0" applyFont="1"/>
    <xf numFmtId="0" fontId="52" fillId="0" borderId="0" xfId="0" applyFont="1"/>
    <xf numFmtId="14" fontId="4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2" fontId="0" fillId="0" borderId="0" xfId="0" applyNumberFormat="1"/>
    <xf numFmtId="0" fontId="11" fillId="3" borderId="17" xfId="0" applyFont="1" applyFill="1" applyBorder="1" applyAlignment="1" applyProtection="1">
      <alignment horizontal="right"/>
      <protection hidden="1"/>
    </xf>
    <xf numFmtId="0" fontId="11" fillId="3" borderId="17" xfId="0" applyFont="1" applyFill="1" applyBorder="1" applyProtection="1">
      <protection hidden="1"/>
    </xf>
    <xf numFmtId="0" fontId="11" fillId="3" borderId="18" xfId="0" applyFont="1" applyFill="1" applyBorder="1" applyAlignment="1" applyProtection="1">
      <alignment horizontal="centerContinuous"/>
      <protection hidden="1"/>
    </xf>
    <xf numFmtId="0" fontId="1" fillId="4" borderId="0" xfId="0" applyFont="1" applyFill="1" applyBorder="1" applyAlignment="1" applyProtection="1">
      <alignment horizontal="centerContinuous"/>
      <protection hidden="1"/>
    </xf>
    <xf numFmtId="0" fontId="11" fillId="4" borderId="25" xfId="0" applyFont="1" applyFill="1" applyBorder="1" applyAlignment="1" applyProtection="1">
      <alignment horizontal="centerContinuous"/>
      <protection hidden="1"/>
    </xf>
    <xf numFmtId="0" fontId="11" fillId="4" borderId="0" xfId="0" applyFont="1" applyFill="1" applyBorder="1" applyAlignment="1" applyProtection="1">
      <alignment horizontal="centerContinuous"/>
      <protection hidden="1"/>
    </xf>
    <xf numFmtId="0" fontId="11" fillId="4" borderId="0" xfId="0" applyFont="1" applyFill="1" applyBorder="1" applyAlignment="1" applyProtection="1">
      <alignment horizontal="left"/>
      <protection hidden="1"/>
    </xf>
    <xf numFmtId="0" fontId="11" fillId="4" borderId="0" xfId="0" applyFont="1" applyFill="1" applyBorder="1" applyProtection="1">
      <protection hidden="1"/>
    </xf>
    <xf numFmtId="0" fontId="0" fillId="4" borderId="0" xfId="0" applyFill="1" applyBorder="1" applyProtection="1">
      <protection hidden="1"/>
    </xf>
    <xf numFmtId="0" fontId="11" fillId="4" borderId="25" xfId="0" applyFont="1" applyFill="1" applyBorder="1" applyAlignment="1" applyProtection="1">
      <alignment horizontal="center"/>
      <protection hidden="1"/>
    </xf>
    <xf numFmtId="0" fontId="1" fillId="4" borderId="25" xfId="0" applyFont="1" applyFill="1" applyBorder="1" applyAlignment="1" applyProtection="1">
      <alignment horizontal="centerContinuous"/>
      <protection hidden="1"/>
    </xf>
    <xf numFmtId="0" fontId="11" fillId="2" borderId="19" xfId="0" applyFont="1" applyFill="1" applyBorder="1" applyAlignment="1">
      <alignment horizontal="centerContinuous"/>
    </xf>
    <xf numFmtId="0" fontId="53" fillId="3" borderId="2" xfId="0" applyFont="1" applyFill="1" applyBorder="1" applyAlignment="1" applyProtection="1">
      <alignment horizontal="centerContinuous"/>
      <protection hidden="1"/>
    </xf>
    <xf numFmtId="0" fontId="53" fillId="3" borderId="5" xfId="0" applyFont="1" applyFill="1" applyBorder="1" applyAlignment="1" applyProtection="1">
      <alignment horizontal="centerContinuous"/>
      <protection hidden="1"/>
    </xf>
    <xf numFmtId="0" fontId="53" fillId="3" borderId="27" xfId="0" applyFont="1" applyFill="1" applyBorder="1" applyAlignment="1" applyProtection="1">
      <alignment horizontal="centerContinuous"/>
      <protection hidden="1"/>
    </xf>
    <xf numFmtId="0" fontId="53" fillId="3" borderId="29" xfId="0" applyFont="1" applyFill="1" applyBorder="1" applyAlignment="1" applyProtection="1">
      <alignment horizontal="centerContinuous"/>
      <protection hidden="1"/>
    </xf>
    <xf numFmtId="0" fontId="54" fillId="3" borderId="1" xfId="0" applyFont="1" applyFill="1" applyBorder="1" applyAlignment="1" applyProtection="1">
      <alignment horizontal="centerContinuous"/>
      <protection hidden="1"/>
    </xf>
    <xf numFmtId="0" fontId="54" fillId="3" borderId="26" xfId="0" applyFont="1" applyFill="1" applyBorder="1" applyAlignment="1" applyProtection="1">
      <alignment horizontal="centerContinuous"/>
      <protection hidden="1"/>
    </xf>
    <xf numFmtId="0" fontId="1" fillId="4" borderId="6" xfId="0" applyFont="1" applyFill="1" applyBorder="1" applyAlignment="1" applyProtection="1">
      <alignment horizontal="centerContinuous"/>
      <protection hidden="1"/>
    </xf>
    <xf numFmtId="0" fontId="11" fillId="2" borderId="0" xfId="0" applyFont="1" applyFill="1" applyBorder="1"/>
    <xf numFmtId="0" fontId="0" fillId="2" borderId="0" xfId="0" applyFill="1" applyBorder="1"/>
    <xf numFmtId="2" fontId="11" fillId="2" borderId="0" xfId="0" applyNumberFormat="1" applyFont="1" applyFill="1" applyBorder="1"/>
    <xf numFmtId="0" fontId="26" fillId="3" borderId="0" xfId="0" applyFont="1" applyFill="1" applyBorder="1" applyProtection="1">
      <protection hidden="1"/>
    </xf>
    <xf numFmtId="0" fontId="0" fillId="3" borderId="6" xfId="0" applyFill="1" applyBorder="1"/>
    <xf numFmtId="0" fontId="0" fillId="3" borderId="0" xfId="0" applyFill="1" applyBorder="1"/>
    <xf numFmtId="0" fontId="0" fillId="3" borderId="19" xfId="0" applyFill="1" applyBorder="1"/>
    <xf numFmtId="0" fontId="0" fillId="3" borderId="26" xfId="0" applyFill="1" applyBorder="1"/>
    <xf numFmtId="0" fontId="0" fillId="3" borderId="27" xfId="0" applyFill="1" applyBorder="1"/>
    <xf numFmtId="0" fontId="0" fillId="3" borderId="29" xfId="0" applyFill="1" applyBorder="1"/>
    <xf numFmtId="167" fontId="55" fillId="3" borderId="9" xfId="0" applyNumberFormat="1" applyFont="1" applyFill="1" applyBorder="1" applyAlignment="1" applyProtection="1">
      <alignment horizontal="centerContinuous"/>
      <protection hidden="1"/>
    </xf>
    <xf numFmtId="0" fontId="56" fillId="3" borderId="9" xfId="0" applyFont="1" applyFill="1" applyBorder="1" applyAlignment="1" applyProtection="1">
      <alignment horizontal="centerContinuous"/>
      <protection hidden="1"/>
    </xf>
    <xf numFmtId="0" fontId="57" fillId="3" borderId="10" xfId="0" applyFont="1" applyFill="1" applyBorder="1" applyProtection="1">
      <protection hidden="1"/>
    </xf>
    <xf numFmtId="0" fontId="11" fillId="3" borderId="14" xfId="0" applyFont="1" applyFill="1" applyBorder="1" applyAlignment="1" applyProtection="1">
      <alignment horizontal="right"/>
      <protection hidden="1"/>
    </xf>
    <xf numFmtId="0" fontId="11" fillId="3" borderId="14" xfId="0" applyFont="1" applyFill="1" applyBorder="1" applyAlignment="1" applyProtection="1">
      <alignment horizontal="center"/>
      <protection hidden="1"/>
    </xf>
    <xf numFmtId="2" fontId="11" fillId="3" borderId="36" xfId="0" applyNumberFormat="1" applyFont="1" applyFill="1" applyBorder="1" applyProtection="1">
      <protection hidden="1"/>
    </xf>
    <xf numFmtId="165" fontId="7" fillId="3" borderId="9" xfId="0" applyNumberFormat="1" applyFont="1" applyFill="1" applyBorder="1" applyProtection="1">
      <protection hidden="1"/>
    </xf>
    <xf numFmtId="0" fontId="0" fillId="3" borderId="32" xfId="0" applyFill="1" applyBorder="1" applyProtection="1">
      <protection hidden="1"/>
    </xf>
    <xf numFmtId="0" fontId="7" fillId="3" borderId="56" xfId="0" applyFont="1" applyFill="1" applyBorder="1" applyProtection="1">
      <protection hidden="1"/>
    </xf>
    <xf numFmtId="0" fontId="11" fillId="3" borderId="7" xfId="0" applyFont="1" applyFill="1" applyBorder="1" applyProtection="1">
      <protection hidden="1"/>
    </xf>
    <xf numFmtId="0" fontId="11" fillId="3" borderId="13" xfId="0" applyFont="1" applyFill="1" applyBorder="1" applyProtection="1">
      <protection hidden="1"/>
    </xf>
    <xf numFmtId="0" fontId="7" fillId="3" borderId="32" xfId="0" applyFont="1" applyFill="1" applyBorder="1" applyProtection="1">
      <protection hidden="1"/>
    </xf>
    <xf numFmtId="0" fontId="5" fillId="3" borderId="44" xfId="0" applyFont="1" applyFill="1" applyBorder="1" applyAlignment="1" applyProtection="1">
      <alignment horizontal="centerContinuous"/>
      <protection hidden="1"/>
    </xf>
    <xf numFmtId="0" fontId="5" fillId="3" borderId="13" xfId="0" applyFont="1" applyFill="1" applyBorder="1" applyAlignment="1" applyProtection="1">
      <alignment horizontal="centerContinuous"/>
      <protection hidden="1"/>
    </xf>
    <xf numFmtId="2" fontId="7" fillId="3" borderId="32" xfId="0" applyNumberFormat="1" applyFont="1" applyFill="1" applyBorder="1" applyProtection="1">
      <protection hidden="1"/>
    </xf>
    <xf numFmtId="0" fontId="0" fillId="0" borderId="14" xfId="0" applyBorder="1"/>
    <xf numFmtId="0" fontId="3" fillId="3" borderId="0" xfId="0" applyFont="1" applyFill="1" applyBorder="1" applyAlignment="1" applyProtection="1">
      <alignment horizontal="center"/>
      <protection hidden="1"/>
    </xf>
    <xf numFmtId="0" fontId="11" fillId="3" borderId="40" xfId="0" applyFont="1" applyFill="1" applyBorder="1" applyAlignment="1" applyProtection="1">
      <alignment horizontal="center"/>
      <protection hidden="1"/>
    </xf>
    <xf numFmtId="0" fontId="42" fillId="2" borderId="16" xfId="0" applyFont="1" applyFill="1" applyBorder="1" applyAlignment="1" applyProtection="1">
      <alignment horizontal="centerContinuous" vertical="top"/>
      <protection hidden="1"/>
    </xf>
    <xf numFmtId="0" fontId="60" fillId="3" borderId="0" xfId="0" applyFont="1" applyFill="1" applyBorder="1" applyAlignment="1" applyProtection="1">
      <alignment horizontal="left"/>
      <protection hidden="1"/>
    </xf>
    <xf numFmtId="0" fontId="59" fillId="3" borderId="25" xfId="0" applyFont="1" applyFill="1" applyBorder="1" applyAlignment="1" applyProtection="1">
      <alignment horizontal="left"/>
      <protection hidden="1"/>
    </xf>
    <xf numFmtId="0" fontId="5" fillId="4" borderId="25" xfId="0" applyFont="1" applyFill="1" applyBorder="1" applyAlignment="1" applyProtection="1">
      <alignment horizontal="center"/>
      <protection hidden="1"/>
    </xf>
    <xf numFmtId="0" fontId="5" fillId="4" borderId="40" xfId="0" applyFont="1" applyFill="1" applyBorder="1" applyAlignment="1" applyProtection="1">
      <alignment horizontal="center"/>
      <protection hidden="1"/>
    </xf>
    <xf numFmtId="0" fontId="5" fillId="4" borderId="43" xfId="0" applyFont="1" applyFill="1" applyBorder="1" applyAlignment="1" applyProtection="1">
      <alignment horizontal="center"/>
      <protection hidden="1"/>
    </xf>
    <xf numFmtId="0" fontId="0" fillId="4" borderId="12" xfId="0" applyFill="1" applyBorder="1" applyAlignment="1" applyProtection="1">
      <alignment horizontal="left"/>
      <protection hidden="1"/>
    </xf>
    <xf numFmtId="0" fontId="5" fillId="4" borderId="6" xfId="0" applyFont="1" applyFill="1" applyBorder="1" applyAlignment="1" applyProtection="1">
      <alignment horizontal="right"/>
      <protection hidden="1"/>
    </xf>
    <xf numFmtId="0" fontId="5" fillId="5" borderId="6" xfId="0" applyFont="1" applyFill="1" applyBorder="1" applyAlignment="1" applyProtection="1">
      <alignment horizontal="center"/>
      <protection hidden="1"/>
    </xf>
    <xf numFmtId="0" fontId="5" fillId="5" borderId="38" xfId="0" applyFont="1" applyFill="1" applyBorder="1" applyAlignment="1" applyProtection="1">
      <alignment horizontal="center"/>
      <protection hidden="1"/>
    </xf>
    <xf numFmtId="0" fontId="5" fillId="5" borderId="40" xfId="0" applyFont="1" applyFill="1" applyBorder="1" applyAlignment="1" applyProtection="1">
      <alignment horizontal="center"/>
      <protection hidden="1"/>
    </xf>
    <xf numFmtId="0" fontId="5" fillId="5" borderId="43" xfId="0" applyFont="1" applyFill="1" applyBorder="1" applyAlignment="1" applyProtection="1">
      <alignment horizontal="center"/>
      <protection hidden="1"/>
    </xf>
    <xf numFmtId="0" fontId="0" fillId="5" borderId="7" xfId="0" applyFill="1" applyBorder="1" applyAlignment="1" applyProtection="1">
      <alignment horizontal="left"/>
      <protection hidden="1"/>
    </xf>
    <xf numFmtId="2" fontId="20" fillId="4" borderId="27" xfId="0" applyNumberFormat="1" applyFont="1" applyFill="1" applyBorder="1" applyAlignment="1" applyProtection="1">
      <alignment horizontal="centerContinuous"/>
      <protection hidden="1"/>
    </xf>
    <xf numFmtId="0" fontId="7" fillId="3" borderId="0" xfId="0" applyFont="1" applyFill="1" applyBorder="1" applyAlignment="1" applyProtection="1">
      <alignment horizontal="right"/>
      <protection hidden="1"/>
    </xf>
    <xf numFmtId="0" fontId="11" fillId="4" borderId="4" xfId="0" applyFont="1" applyFill="1" applyBorder="1" applyAlignment="1" applyProtection="1">
      <alignment horizontal="left"/>
      <protection hidden="1"/>
    </xf>
    <xf numFmtId="0" fontId="11" fillId="4" borderId="0" xfId="0" applyFont="1" applyFill="1" applyBorder="1" applyAlignment="1" applyProtection="1">
      <alignment horizontal="center"/>
      <protection hidden="1"/>
    </xf>
    <xf numFmtId="0" fontId="0" fillId="4" borderId="2" xfId="0" applyFill="1" applyBorder="1" applyAlignment="1" applyProtection="1">
      <alignment horizontal="centerContinuous"/>
      <protection hidden="1"/>
    </xf>
    <xf numFmtId="0" fontId="7" fillId="2" borderId="0" xfId="0" applyFont="1" applyFill="1" applyBorder="1" applyAlignment="1">
      <alignment horizontal="centerContinuous"/>
    </xf>
    <xf numFmtId="0" fontId="7" fillId="2" borderId="0" xfId="0" applyFont="1" applyFill="1" applyBorder="1"/>
    <xf numFmtId="2" fontId="27" fillId="5" borderId="49" xfId="0" applyNumberFormat="1" applyFont="1" applyFill="1" applyBorder="1" applyAlignment="1" applyProtection="1">
      <alignment horizontal="center"/>
      <protection hidden="1"/>
    </xf>
    <xf numFmtId="2" fontId="21" fillId="3" borderId="7" xfId="0" applyNumberFormat="1" applyFont="1" applyFill="1" applyBorder="1" applyAlignment="1" applyProtection="1">
      <alignment horizontal="center"/>
      <protection hidden="1"/>
    </xf>
    <xf numFmtId="2" fontId="21" fillId="3" borderId="18" xfId="0" applyNumberFormat="1" applyFont="1" applyFill="1" applyBorder="1" applyAlignment="1" applyProtection="1">
      <alignment horizontal="center"/>
      <protection hidden="1"/>
    </xf>
    <xf numFmtId="0" fontId="2" fillId="3" borderId="0" xfId="0" applyFont="1" applyFill="1" applyBorder="1" applyProtection="1">
      <protection hidden="1"/>
    </xf>
    <xf numFmtId="0" fontId="0" fillId="4" borderId="11" xfId="0" applyFill="1" applyBorder="1" applyProtection="1">
      <protection hidden="1"/>
    </xf>
    <xf numFmtId="0" fontId="7" fillId="2" borderId="17" xfId="0" applyFont="1" applyFill="1" applyBorder="1" applyAlignment="1" applyProtection="1">
      <alignment horizontal="centerContinuous"/>
      <protection hidden="1"/>
    </xf>
    <xf numFmtId="0" fontId="7" fillId="2" borderId="0" xfId="0" applyFont="1" applyFill="1" applyBorder="1" applyAlignment="1" applyProtection="1">
      <alignment horizontal="centerContinuous"/>
      <protection hidden="1"/>
    </xf>
    <xf numFmtId="0" fontId="7" fillId="2" borderId="16" xfId="0" applyFont="1" applyFill="1" applyBorder="1" applyAlignment="1" applyProtection="1">
      <alignment horizontal="centerContinuous"/>
      <protection hidden="1"/>
    </xf>
    <xf numFmtId="2" fontId="4" fillId="2" borderId="40" xfId="0" applyNumberFormat="1" applyFont="1" applyFill="1" applyBorder="1" applyAlignment="1" applyProtection="1">
      <alignment horizontal="center"/>
      <protection locked="0" hidden="1"/>
    </xf>
    <xf numFmtId="0" fontId="7" fillId="3" borderId="16" xfId="0" applyFont="1" applyFill="1" applyBorder="1" applyProtection="1">
      <protection hidden="1"/>
    </xf>
    <xf numFmtId="0" fontId="7" fillId="3" borderId="17" xfId="0" applyFont="1" applyFill="1" applyBorder="1" applyAlignment="1" applyProtection="1">
      <alignment horizontal="centerContinuous"/>
      <protection hidden="1"/>
    </xf>
    <xf numFmtId="0" fontId="7" fillId="3" borderId="14" xfId="0" applyFont="1" applyFill="1" applyBorder="1" applyAlignment="1" applyProtection="1">
      <alignment horizontal="center"/>
      <protection hidden="1"/>
    </xf>
    <xf numFmtId="165" fontId="21" fillId="3" borderId="14" xfId="0" applyNumberFormat="1" applyFont="1" applyFill="1" applyBorder="1" applyAlignment="1" applyProtection="1">
      <alignment horizontal="right"/>
      <protection hidden="1"/>
    </xf>
    <xf numFmtId="0" fontId="2" fillId="3" borderId="38" xfId="0" applyFont="1" applyFill="1" applyBorder="1" applyAlignment="1" applyProtection="1">
      <alignment horizontal="center"/>
      <protection hidden="1"/>
    </xf>
    <xf numFmtId="0" fontId="7" fillId="3" borderId="39" xfId="0" applyFont="1" applyFill="1" applyBorder="1" applyAlignment="1" applyProtection="1">
      <alignment horizontal="left"/>
      <protection hidden="1"/>
    </xf>
    <xf numFmtId="0" fontId="7" fillId="3" borderId="27" xfId="0" applyFont="1" applyFill="1" applyBorder="1" applyProtection="1">
      <protection hidden="1"/>
    </xf>
    <xf numFmtId="0" fontId="7" fillId="4" borderId="42" xfId="0" applyFont="1" applyFill="1" applyBorder="1" applyProtection="1">
      <protection hidden="1"/>
    </xf>
    <xf numFmtId="0" fontId="14" fillId="3" borderId="42" xfId="0" applyFont="1" applyFill="1" applyBorder="1" applyProtection="1">
      <protection hidden="1"/>
    </xf>
    <xf numFmtId="0" fontId="7" fillId="3" borderId="17" xfId="0" applyFont="1" applyFill="1" applyBorder="1" applyProtection="1">
      <protection hidden="1"/>
    </xf>
    <xf numFmtId="2" fontId="14" fillId="3" borderId="17" xfId="0" applyNumberFormat="1" applyFont="1" applyFill="1" applyBorder="1" applyProtection="1">
      <protection hidden="1"/>
    </xf>
    <xf numFmtId="0" fontId="14" fillId="3" borderId="39" xfId="0" applyFont="1" applyFill="1" applyBorder="1" applyProtection="1">
      <protection hidden="1"/>
    </xf>
    <xf numFmtId="0" fontId="11" fillId="3" borderId="47" xfId="0" applyFont="1" applyFill="1" applyBorder="1" applyAlignment="1" applyProtection="1">
      <alignment horizontal="centerContinuous"/>
      <protection hidden="1"/>
    </xf>
    <xf numFmtId="1" fontId="4" fillId="2" borderId="43" xfId="0" applyNumberFormat="1" applyFont="1" applyFill="1" applyBorder="1" applyAlignment="1" applyProtection="1">
      <alignment horizontal="center"/>
      <protection locked="0" hidden="1"/>
    </xf>
    <xf numFmtId="0" fontId="18" fillId="2" borderId="11" xfId="0" applyFont="1" applyFill="1" applyBorder="1" applyProtection="1">
      <protection hidden="1"/>
    </xf>
    <xf numFmtId="2" fontId="2" fillId="3" borderId="0" xfId="0" applyNumberFormat="1" applyFont="1" applyFill="1" applyBorder="1" applyProtection="1">
      <protection hidden="1"/>
    </xf>
    <xf numFmtId="0" fontId="63" fillId="2" borderId="4" xfId="0" applyFont="1" applyFill="1" applyBorder="1" applyAlignment="1" applyProtection="1">
      <alignment horizontal="centerContinuous"/>
      <protection hidden="1"/>
    </xf>
    <xf numFmtId="0" fontId="7" fillId="3" borderId="26" xfId="0" applyFont="1" applyFill="1" applyBorder="1" applyProtection="1">
      <protection hidden="1"/>
    </xf>
    <xf numFmtId="0" fontId="7" fillId="3" borderId="55" xfId="0" applyFont="1" applyFill="1" applyBorder="1" applyProtection="1">
      <protection hidden="1"/>
    </xf>
    <xf numFmtId="165" fontId="21" fillId="3" borderId="27" xfId="0" applyNumberFormat="1" applyFont="1" applyFill="1" applyBorder="1" applyAlignment="1" applyProtection="1">
      <alignment horizontal="center"/>
      <protection hidden="1"/>
    </xf>
    <xf numFmtId="0" fontId="65" fillId="2" borderId="25" xfId="0" applyFont="1" applyFill="1" applyBorder="1" applyAlignment="1" applyProtection="1">
      <alignment horizontal="centerContinuous"/>
      <protection hidden="1"/>
    </xf>
    <xf numFmtId="0" fontId="67" fillId="0" borderId="30" xfId="0" applyFont="1" applyBorder="1" applyAlignment="1">
      <alignment horizontal="center" vertical="center" wrapText="1"/>
    </xf>
    <xf numFmtId="0" fontId="67" fillId="0" borderId="29" xfId="0" applyFont="1" applyBorder="1" applyAlignment="1">
      <alignment horizontal="justify" vertical="center" wrapText="1"/>
    </xf>
    <xf numFmtId="0" fontId="67" fillId="6" borderId="30" xfId="0" applyFont="1" applyFill="1" applyBorder="1" applyAlignment="1">
      <alignment horizontal="center" vertical="center" wrapText="1"/>
    </xf>
    <xf numFmtId="0" fontId="67" fillId="6" borderId="29" xfId="0" applyFont="1" applyFill="1" applyBorder="1" applyAlignment="1">
      <alignment horizontal="justify" vertical="center" wrapText="1"/>
    </xf>
    <xf numFmtId="0" fontId="2" fillId="0" borderId="0" xfId="0" applyFont="1"/>
    <xf numFmtId="0" fontId="66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68" fillId="0" borderId="0" xfId="0" applyFont="1"/>
    <xf numFmtId="0" fontId="69" fillId="0" borderId="0" xfId="0" applyFont="1"/>
    <xf numFmtId="0" fontId="70" fillId="0" borderId="0" xfId="0" applyFont="1" applyAlignment="1">
      <alignment horizontal="center"/>
    </xf>
    <xf numFmtId="0" fontId="67" fillId="6" borderId="57" xfId="0" applyFont="1" applyFill="1" applyBorder="1" applyAlignment="1">
      <alignment horizontal="center" vertical="center" wrapText="1"/>
    </xf>
    <xf numFmtId="0" fontId="67" fillId="6" borderId="24" xfId="0" applyFont="1" applyFill="1" applyBorder="1" applyAlignment="1">
      <alignment horizontal="justify" vertical="center" wrapText="1"/>
    </xf>
    <xf numFmtId="0" fontId="71" fillId="0" borderId="0" xfId="0" applyFont="1" applyAlignment="1">
      <alignment horizontal="justify" vertical="center"/>
    </xf>
    <xf numFmtId="0" fontId="0" fillId="3" borderId="0" xfId="0" applyFill="1" applyBorder="1" applyProtection="1">
      <protection locked="0" hidden="1"/>
    </xf>
    <xf numFmtId="0" fontId="0" fillId="0" borderId="0" xfId="0" applyProtection="1">
      <protection locked="0" hidden="1"/>
    </xf>
    <xf numFmtId="164" fontId="62" fillId="3" borderId="0" xfId="0" applyNumberFormat="1" applyFont="1" applyFill="1" applyBorder="1" applyAlignment="1" applyProtection="1">
      <alignment horizontal="left"/>
      <protection locked="0" hidden="1"/>
    </xf>
    <xf numFmtId="0" fontId="61" fillId="3" borderId="0" xfId="0" applyFont="1" applyFill="1" applyBorder="1" applyAlignment="1" applyProtection="1">
      <alignment horizontal="center"/>
      <protection locked="0" hidden="1"/>
    </xf>
    <xf numFmtId="0" fontId="61" fillId="2" borderId="30" xfId="0" applyFont="1" applyFill="1" applyBorder="1" applyAlignment="1" applyProtection="1">
      <alignment horizontal="center"/>
      <protection locked="0" hidden="1"/>
    </xf>
    <xf numFmtId="0" fontId="61" fillId="3" borderId="0" xfId="0" applyFont="1" applyFill="1" applyBorder="1" applyProtection="1">
      <protection locked="0" hidden="1"/>
    </xf>
    <xf numFmtId="0" fontId="61" fillId="3" borderId="0" xfId="0" applyFont="1" applyFill="1" applyBorder="1" applyAlignment="1" applyProtection="1">
      <alignment horizontal="left"/>
      <protection locked="0" hidden="1"/>
    </xf>
    <xf numFmtId="0" fontId="61" fillId="2" borderId="27" xfId="0" applyFont="1" applyFill="1" applyBorder="1" applyProtection="1">
      <protection locked="0" hidden="1"/>
    </xf>
    <xf numFmtId="0" fontId="11" fillId="2" borderId="16" xfId="0" applyFont="1" applyFill="1" applyBorder="1" applyAlignment="1" applyProtection="1">
      <alignment horizontal="center"/>
      <protection hidden="1"/>
    </xf>
    <xf numFmtId="0" fontId="11" fillId="2" borderId="17" xfId="0" applyFont="1" applyFill="1" applyBorder="1" applyAlignment="1" applyProtection="1">
      <alignment horizontal="center"/>
      <protection hidden="1"/>
    </xf>
    <xf numFmtId="0" fontId="11" fillId="2" borderId="39" xfId="0" applyFont="1" applyFill="1" applyBorder="1" applyAlignment="1" applyProtection="1">
      <alignment horizontal="center"/>
      <protection hidden="1"/>
    </xf>
    <xf numFmtId="0" fontId="11" fillId="2" borderId="25" xfId="0" applyFont="1" applyFill="1" applyBorder="1" applyAlignment="1" applyProtection="1">
      <alignment horizontal="center"/>
      <protection hidden="1"/>
    </xf>
    <xf numFmtId="0" fontId="11" fillId="2" borderId="0" xfId="0" applyFont="1" applyFill="1" applyBorder="1" applyAlignment="1" applyProtection="1">
      <alignment horizontal="center"/>
      <protection hidden="1"/>
    </xf>
    <xf numFmtId="0" fontId="11" fillId="2" borderId="7" xfId="0" applyFont="1" applyFill="1" applyBorder="1" applyAlignment="1" applyProtection="1">
      <alignment horizontal="center"/>
      <protection hidden="1"/>
    </xf>
    <xf numFmtId="0" fontId="11" fillId="2" borderId="8" xfId="0" applyFont="1" applyFill="1" applyBorder="1" applyAlignment="1" applyProtection="1">
      <alignment horizontal="center"/>
      <protection hidden="1"/>
    </xf>
    <xf numFmtId="0" fontId="11" fillId="2" borderId="9" xfId="0" applyFont="1" applyFill="1" applyBorder="1" applyAlignment="1" applyProtection="1">
      <alignment horizontal="center"/>
      <protection hidden="1"/>
    </xf>
    <xf numFmtId="0" fontId="11" fillId="2" borderId="12" xfId="0" applyFont="1" applyFill="1" applyBorder="1" applyAlignment="1" applyProtection="1">
      <alignment horizontal="center"/>
      <protection hidden="1"/>
    </xf>
    <xf numFmtId="0" fontId="11" fillId="2" borderId="13" xfId="0" applyFont="1" applyFill="1" applyBorder="1" applyAlignment="1" applyProtection="1">
      <alignment horizontal="center"/>
      <protection hidden="1"/>
    </xf>
    <xf numFmtId="0" fontId="11" fillId="2" borderId="14" xfId="0" applyFont="1" applyFill="1" applyBorder="1" applyAlignment="1" applyProtection="1">
      <alignment horizontal="center"/>
      <protection hidden="1"/>
    </xf>
    <xf numFmtId="0" fontId="11" fillId="2" borderId="36" xfId="0" applyFont="1" applyFill="1" applyBorder="1" applyAlignment="1" applyProtection="1">
      <alignment horizontal="center"/>
      <protection hidden="1"/>
    </xf>
    <xf numFmtId="2" fontId="11" fillId="5" borderId="4" xfId="0" applyNumberFormat="1" applyFont="1" applyFill="1" applyBorder="1" applyAlignment="1" applyProtection="1">
      <alignment horizontal="center"/>
      <protection hidden="1"/>
    </xf>
    <xf numFmtId="2" fontId="11" fillId="5" borderId="3" xfId="0" applyNumberFormat="1" applyFont="1" applyFill="1" applyBorder="1" applyAlignment="1" applyProtection="1">
      <alignment horizontal="center"/>
      <protection hidden="1"/>
    </xf>
    <xf numFmtId="2" fontId="21" fillId="4" borderId="25" xfId="0" applyNumberFormat="1" applyFont="1" applyFill="1" applyBorder="1" applyAlignment="1" applyProtection="1">
      <alignment horizontal="center"/>
      <protection hidden="1"/>
    </xf>
    <xf numFmtId="2" fontId="21" fillId="4" borderId="7" xfId="0" applyNumberFormat="1" applyFont="1" applyFill="1" applyBorder="1" applyAlignment="1" applyProtection="1">
      <alignment horizontal="center"/>
      <protection hidden="1"/>
    </xf>
    <xf numFmtId="2" fontId="21" fillId="4" borderId="8" xfId="0" applyNumberFormat="1" applyFont="1" applyFill="1" applyBorder="1" applyAlignment="1" applyProtection="1">
      <alignment horizontal="center"/>
      <protection hidden="1"/>
    </xf>
    <xf numFmtId="2" fontId="21" fillId="4" borderId="12" xfId="0" applyNumberFormat="1" applyFont="1" applyFill="1" applyBorder="1" applyAlignment="1" applyProtection="1">
      <alignment horizontal="center"/>
      <protection hidden="1"/>
    </xf>
    <xf numFmtId="0" fontId="2" fillId="2" borderId="4" xfId="0" applyFont="1" applyFill="1" applyBorder="1" applyAlignment="1" applyProtection="1">
      <alignment horizontal="center"/>
      <protection hidden="1"/>
    </xf>
    <xf numFmtId="0" fontId="2" fillId="2" borderId="3" xfId="0" applyFont="1" applyFill="1" applyBorder="1" applyAlignment="1" applyProtection="1">
      <alignment horizontal="center"/>
      <protection hidden="1"/>
    </xf>
    <xf numFmtId="0" fontId="2" fillId="2" borderId="25" xfId="0" applyFont="1" applyFill="1" applyBorder="1" applyAlignment="1" applyProtection="1">
      <alignment horizontal="center"/>
      <protection hidden="1"/>
    </xf>
    <xf numFmtId="0" fontId="2" fillId="2" borderId="7" xfId="0" applyFont="1" applyFill="1" applyBorder="1" applyAlignment="1" applyProtection="1">
      <alignment horizontal="center"/>
      <protection hidden="1"/>
    </xf>
    <xf numFmtId="0" fontId="0" fillId="2" borderId="25" xfId="0" applyFill="1" applyBorder="1" applyAlignment="1" applyProtection="1">
      <alignment horizontal="center"/>
      <protection hidden="1"/>
    </xf>
    <xf numFmtId="0" fontId="0" fillId="2" borderId="7" xfId="0" applyFill="1" applyBorder="1" applyAlignment="1" applyProtection="1">
      <alignment horizontal="center"/>
      <protection hidden="1"/>
    </xf>
    <xf numFmtId="0" fontId="2" fillId="2" borderId="28" xfId="0" applyFont="1" applyFill="1" applyBorder="1" applyAlignment="1" applyProtection="1">
      <alignment horizontal="center"/>
      <protection hidden="1"/>
    </xf>
    <xf numFmtId="0" fontId="2" fillId="2" borderId="47" xfId="0" applyFont="1" applyFill="1" applyBorder="1" applyAlignment="1" applyProtection="1">
      <alignment horizontal="center"/>
      <protection hidden="1"/>
    </xf>
    <xf numFmtId="2" fontId="11" fillId="5" borderId="25" xfId="0" applyNumberFormat="1" applyFont="1" applyFill="1" applyBorder="1" applyAlignment="1" applyProtection="1">
      <alignment horizontal="center"/>
      <protection hidden="1"/>
    </xf>
    <xf numFmtId="2" fontId="11" fillId="5" borderId="7" xfId="0" applyNumberFormat="1" applyFont="1" applyFill="1" applyBorder="1" applyAlignment="1" applyProtection="1">
      <alignment horizontal="center"/>
      <protection hidden="1"/>
    </xf>
    <xf numFmtId="2" fontId="11" fillId="5" borderId="8" xfId="0" applyNumberFormat="1" applyFont="1" applyFill="1" applyBorder="1" applyAlignment="1" applyProtection="1">
      <alignment horizontal="center"/>
      <protection hidden="1"/>
    </xf>
    <xf numFmtId="2" fontId="11" fillId="5" borderId="12" xfId="0" applyNumberFormat="1" applyFont="1" applyFill="1" applyBorder="1" applyAlignment="1" applyProtection="1">
      <alignment horizontal="center"/>
      <protection hidden="1"/>
    </xf>
    <xf numFmtId="2" fontId="11" fillId="5" borderId="2" xfId="0" applyNumberFormat="1" applyFont="1" applyFill="1" applyBorder="1" applyAlignment="1" applyProtection="1">
      <alignment horizontal="center"/>
      <protection hidden="1"/>
    </xf>
    <xf numFmtId="2" fontId="11" fillId="5" borderId="0" xfId="0" applyNumberFormat="1" applyFont="1" applyFill="1" applyBorder="1" applyAlignment="1" applyProtection="1">
      <alignment horizontal="center"/>
      <protection hidden="1"/>
    </xf>
    <xf numFmtId="2" fontId="11" fillId="5" borderId="9" xfId="0" applyNumberFormat="1" applyFont="1" applyFill="1" applyBorder="1" applyAlignment="1" applyProtection="1">
      <alignment horizontal="center"/>
      <protection hidden="1"/>
    </xf>
    <xf numFmtId="0" fontId="67" fillId="0" borderId="20" xfId="0" applyFont="1" applyBorder="1" applyAlignment="1">
      <alignment horizontal="justify" vertical="center" wrapText="1"/>
    </xf>
    <xf numFmtId="0" fontId="67" fillId="0" borderId="30" xfId="0" applyFont="1" applyBorder="1" applyAlignment="1">
      <alignment horizontal="justify" vertical="center" wrapText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299357</xdr:colOff>
      <xdr:row>33</xdr:row>
      <xdr:rowOff>146957</xdr:rowOff>
    </xdr:from>
    <xdr:to>
      <xdr:col>11</xdr:col>
      <xdr:colOff>234043</xdr:colOff>
      <xdr:row>38</xdr:row>
      <xdr:rowOff>0</xdr:rowOff>
    </xdr:to>
    <xdr:sp macro="" textlink="">
      <xdr:nvSpPr>
        <xdr:cNvPr id="3120" name="Rectangle 1">
          <a:extLst>
            <a:ext uri="{FF2B5EF4-FFF2-40B4-BE49-F238E27FC236}">
              <a16:creationId xmlns:a16="http://schemas.microsoft.com/office/drawing/2014/main" id="{00000000-0008-0000-0200-0000300C0000}"/>
            </a:ext>
          </a:extLst>
        </xdr:cNvPr>
        <xdr:cNvSpPr>
          <a:spLocks noChangeArrowheads="1"/>
        </xdr:cNvSpPr>
      </xdr:nvSpPr>
      <xdr:spPr bwMode="auto">
        <a:xfrm>
          <a:off x="3227614" y="5943600"/>
          <a:ext cx="506186" cy="68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9</xdr:col>
      <xdr:colOff>48986</xdr:colOff>
      <xdr:row>38</xdr:row>
      <xdr:rowOff>16329</xdr:rowOff>
    </xdr:from>
    <xdr:to>
      <xdr:col>11</xdr:col>
      <xdr:colOff>234043</xdr:colOff>
      <xdr:row>41</xdr:row>
      <xdr:rowOff>146957</xdr:rowOff>
    </xdr:to>
    <xdr:sp macro="" textlink="">
      <xdr:nvSpPr>
        <xdr:cNvPr id="3121" name="Rectangle 2">
          <a:extLst>
            <a:ext uri="{FF2B5EF4-FFF2-40B4-BE49-F238E27FC236}">
              <a16:creationId xmlns:a16="http://schemas.microsoft.com/office/drawing/2014/main" id="{00000000-0008-0000-0200-0000310C0000}"/>
            </a:ext>
          </a:extLst>
        </xdr:cNvPr>
        <xdr:cNvSpPr>
          <a:spLocks noChangeArrowheads="1"/>
        </xdr:cNvSpPr>
      </xdr:nvSpPr>
      <xdr:spPr bwMode="auto">
        <a:xfrm>
          <a:off x="2977243" y="6645729"/>
          <a:ext cx="756557" cy="62592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1</xdr:col>
      <xdr:colOff>293914</xdr:colOff>
      <xdr:row>33</xdr:row>
      <xdr:rowOff>65314</xdr:rowOff>
    </xdr:from>
    <xdr:to>
      <xdr:col>4</xdr:col>
      <xdr:colOff>119743</xdr:colOff>
      <xdr:row>40</xdr:row>
      <xdr:rowOff>0</xdr:rowOff>
    </xdr:to>
    <xdr:sp macro="" textlink="">
      <xdr:nvSpPr>
        <xdr:cNvPr id="3122" name="Rectangle 3">
          <a:extLst>
            <a:ext uri="{FF2B5EF4-FFF2-40B4-BE49-F238E27FC236}">
              <a16:creationId xmlns:a16="http://schemas.microsoft.com/office/drawing/2014/main" id="{00000000-0008-0000-0200-0000320C0000}"/>
            </a:ext>
          </a:extLst>
        </xdr:cNvPr>
        <xdr:cNvSpPr>
          <a:spLocks noChangeArrowheads="1"/>
        </xdr:cNvSpPr>
      </xdr:nvSpPr>
      <xdr:spPr bwMode="auto">
        <a:xfrm>
          <a:off x="625929" y="5861957"/>
          <a:ext cx="821871" cy="1104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6</xdr:col>
      <xdr:colOff>168729</xdr:colOff>
      <xdr:row>21</xdr:row>
      <xdr:rowOff>0</xdr:rowOff>
    </xdr:from>
    <xdr:to>
      <xdr:col>8</xdr:col>
      <xdr:colOff>92529</xdr:colOff>
      <xdr:row>21</xdr:row>
      <xdr:rowOff>0</xdr:rowOff>
    </xdr:to>
    <xdr:sp macro="" textlink="">
      <xdr:nvSpPr>
        <xdr:cNvPr id="3123" name="Line 4">
          <a:extLst>
            <a:ext uri="{FF2B5EF4-FFF2-40B4-BE49-F238E27FC236}">
              <a16:creationId xmlns:a16="http://schemas.microsoft.com/office/drawing/2014/main" id="{00000000-0008-0000-0200-0000330C0000}"/>
            </a:ext>
          </a:extLst>
        </xdr:cNvPr>
        <xdr:cNvSpPr>
          <a:spLocks noChangeShapeType="1"/>
        </xdr:cNvSpPr>
      </xdr:nvSpPr>
      <xdr:spPr bwMode="auto">
        <a:xfrm>
          <a:off x="2160814" y="3755571"/>
          <a:ext cx="435429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201386</xdr:colOff>
      <xdr:row>22</xdr:row>
      <xdr:rowOff>0</xdr:rowOff>
    </xdr:from>
    <xdr:to>
      <xdr:col>8</xdr:col>
      <xdr:colOff>81643</xdr:colOff>
      <xdr:row>22</xdr:row>
      <xdr:rowOff>0</xdr:rowOff>
    </xdr:to>
    <xdr:sp macro="" textlink="">
      <xdr:nvSpPr>
        <xdr:cNvPr id="3124" name="Line 5">
          <a:extLst>
            <a:ext uri="{FF2B5EF4-FFF2-40B4-BE49-F238E27FC236}">
              <a16:creationId xmlns:a16="http://schemas.microsoft.com/office/drawing/2014/main" id="{00000000-0008-0000-0200-0000340C0000}"/>
            </a:ext>
          </a:extLst>
        </xdr:cNvPr>
        <xdr:cNvSpPr>
          <a:spLocks noChangeShapeType="1"/>
        </xdr:cNvSpPr>
      </xdr:nvSpPr>
      <xdr:spPr bwMode="auto">
        <a:xfrm>
          <a:off x="1861457" y="3935186"/>
          <a:ext cx="723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108857</xdr:rowOff>
    </xdr:from>
    <xdr:to>
      <xdr:col>7</xdr:col>
      <xdr:colOff>0</xdr:colOff>
      <xdr:row>21</xdr:row>
      <xdr:rowOff>43543</xdr:rowOff>
    </xdr:to>
    <xdr:sp macro="" textlink="">
      <xdr:nvSpPr>
        <xdr:cNvPr id="3125" name="Line 6">
          <a:extLst>
            <a:ext uri="{FF2B5EF4-FFF2-40B4-BE49-F238E27FC236}">
              <a16:creationId xmlns:a16="http://schemas.microsoft.com/office/drawing/2014/main" id="{00000000-0008-0000-0200-0000350C0000}"/>
            </a:ext>
          </a:extLst>
        </xdr:cNvPr>
        <xdr:cNvSpPr>
          <a:spLocks noChangeShapeType="1"/>
        </xdr:cNvSpPr>
      </xdr:nvSpPr>
      <xdr:spPr bwMode="auto">
        <a:xfrm>
          <a:off x="2242457" y="3684814"/>
          <a:ext cx="0" cy="114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261257</xdr:colOff>
      <xdr:row>20</xdr:row>
      <xdr:rowOff>119743</xdr:rowOff>
    </xdr:from>
    <xdr:to>
      <xdr:col>8</xdr:col>
      <xdr:colOff>0</xdr:colOff>
      <xdr:row>22</xdr:row>
      <xdr:rowOff>48986</xdr:rowOff>
    </xdr:to>
    <xdr:sp macro="" textlink="">
      <xdr:nvSpPr>
        <xdr:cNvPr id="3126" name="Line 7">
          <a:extLst>
            <a:ext uri="{FF2B5EF4-FFF2-40B4-BE49-F238E27FC236}">
              <a16:creationId xmlns:a16="http://schemas.microsoft.com/office/drawing/2014/main" id="{00000000-0008-0000-0200-0000360C0000}"/>
            </a:ext>
          </a:extLst>
        </xdr:cNvPr>
        <xdr:cNvSpPr>
          <a:spLocks noChangeShapeType="1"/>
        </xdr:cNvSpPr>
      </xdr:nvSpPr>
      <xdr:spPr bwMode="auto">
        <a:xfrm flipH="1">
          <a:off x="2503714" y="3695700"/>
          <a:ext cx="0" cy="28847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370114</xdr:colOff>
      <xdr:row>21</xdr:row>
      <xdr:rowOff>87086</xdr:rowOff>
    </xdr:from>
    <xdr:to>
      <xdr:col>6</xdr:col>
      <xdr:colOff>0</xdr:colOff>
      <xdr:row>22</xdr:row>
      <xdr:rowOff>48986</xdr:rowOff>
    </xdr:to>
    <xdr:sp macro="" textlink="">
      <xdr:nvSpPr>
        <xdr:cNvPr id="3127" name="Line 8">
          <a:extLst>
            <a:ext uri="{FF2B5EF4-FFF2-40B4-BE49-F238E27FC236}">
              <a16:creationId xmlns:a16="http://schemas.microsoft.com/office/drawing/2014/main" id="{00000000-0008-0000-0200-0000370C0000}"/>
            </a:ext>
          </a:extLst>
        </xdr:cNvPr>
        <xdr:cNvSpPr>
          <a:spLocks noChangeShapeType="1"/>
        </xdr:cNvSpPr>
      </xdr:nvSpPr>
      <xdr:spPr bwMode="auto">
        <a:xfrm flipH="1">
          <a:off x="1992086" y="3842657"/>
          <a:ext cx="0" cy="14151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130629</xdr:colOff>
      <xdr:row>6</xdr:row>
      <xdr:rowOff>103414</xdr:rowOff>
    </xdr:from>
    <xdr:to>
      <xdr:col>2</xdr:col>
      <xdr:colOff>130629</xdr:colOff>
      <xdr:row>19</xdr:row>
      <xdr:rowOff>92529</xdr:rowOff>
    </xdr:to>
    <xdr:sp macro="" textlink="">
      <xdr:nvSpPr>
        <xdr:cNvPr id="3128" name="Line 9">
          <a:extLst>
            <a:ext uri="{FF2B5EF4-FFF2-40B4-BE49-F238E27FC236}">
              <a16:creationId xmlns:a16="http://schemas.microsoft.com/office/drawing/2014/main" id="{00000000-0008-0000-0200-0000380C0000}"/>
            </a:ext>
          </a:extLst>
        </xdr:cNvPr>
        <xdr:cNvSpPr>
          <a:spLocks noChangeShapeType="1"/>
        </xdr:cNvSpPr>
      </xdr:nvSpPr>
      <xdr:spPr bwMode="auto">
        <a:xfrm>
          <a:off x="794657" y="1208314"/>
          <a:ext cx="0" cy="228055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239486</xdr:colOff>
      <xdr:row>7</xdr:row>
      <xdr:rowOff>0</xdr:rowOff>
    </xdr:from>
    <xdr:to>
      <xdr:col>4</xdr:col>
      <xdr:colOff>332014</xdr:colOff>
      <xdr:row>7</xdr:row>
      <xdr:rowOff>0</xdr:rowOff>
    </xdr:to>
    <xdr:sp macro="" textlink="">
      <xdr:nvSpPr>
        <xdr:cNvPr id="3129" name="Line 10">
          <a:extLst>
            <a:ext uri="{FF2B5EF4-FFF2-40B4-BE49-F238E27FC236}">
              <a16:creationId xmlns:a16="http://schemas.microsoft.com/office/drawing/2014/main" id="{00000000-0008-0000-0200-0000390C0000}"/>
            </a:ext>
          </a:extLst>
        </xdr:cNvPr>
        <xdr:cNvSpPr>
          <a:spLocks noChangeShapeType="1"/>
        </xdr:cNvSpPr>
      </xdr:nvSpPr>
      <xdr:spPr bwMode="auto">
        <a:xfrm>
          <a:off x="571500" y="1333500"/>
          <a:ext cx="1088571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223157</xdr:colOff>
      <xdr:row>13</xdr:row>
      <xdr:rowOff>0</xdr:rowOff>
    </xdr:from>
    <xdr:to>
      <xdr:col>4</xdr:col>
      <xdr:colOff>223157</xdr:colOff>
      <xdr:row>13</xdr:row>
      <xdr:rowOff>0</xdr:rowOff>
    </xdr:to>
    <xdr:sp macro="" textlink="">
      <xdr:nvSpPr>
        <xdr:cNvPr id="3130" name="Line 11">
          <a:extLst>
            <a:ext uri="{FF2B5EF4-FFF2-40B4-BE49-F238E27FC236}">
              <a16:creationId xmlns:a16="http://schemas.microsoft.com/office/drawing/2014/main" id="{00000000-0008-0000-0200-00003A0C0000}"/>
            </a:ext>
          </a:extLst>
        </xdr:cNvPr>
        <xdr:cNvSpPr>
          <a:spLocks noChangeShapeType="1"/>
        </xdr:cNvSpPr>
      </xdr:nvSpPr>
      <xdr:spPr bwMode="auto">
        <a:xfrm>
          <a:off x="555171" y="2362200"/>
          <a:ext cx="996043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81643</xdr:colOff>
      <xdr:row>6</xdr:row>
      <xdr:rowOff>190500</xdr:rowOff>
    </xdr:from>
    <xdr:to>
      <xdr:col>2</xdr:col>
      <xdr:colOff>201386</xdr:colOff>
      <xdr:row>7</xdr:row>
      <xdr:rowOff>43543</xdr:rowOff>
    </xdr:to>
    <xdr:sp macro="" textlink="">
      <xdr:nvSpPr>
        <xdr:cNvPr id="3131" name="Line 12">
          <a:extLst>
            <a:ext uri="{FF2B5EF4-FFF2-40B4-BE49-F238E27FC236}">
              <a16:creationId xmlns:a16="http://schemas.microsoft.com/office/drawing/2014/main" id="{00000000-0008-0000-0200-00003B0C0000}"/>
            </a:ext>
          </a:extLst>
        </xdr:cNvPr>
        <xdr:cNvSpPr>
          <a:spLocks noChangeShapeType="1"/>
        </xdr:cNvSpPr>
      </xdr:nvSpPr>
      <xdr:spPr bwMode="auto">
        <a:xfrm>
          <a:off x="745671" y="1295400"/>
          <a:ext cx="119743" cy="8164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70757</xdr:colOff>
      <xdr:row>12</xdr:row>
      <xdr:rowOff>125186</xdr:rowOff>
    </xdr:from>
    <xdr:to>
      <xdr:col>2</xdr:col>
      <xdr:colOff>201386</xdr:colOff>
      <xdr:row>13</xdr:row>
      <xdr:rowOff>43543</xdr:rowOff>
    </xdr:to>
    <xdr:sp macro="" textlink="">
      <xdr:nvSpPr>
        <xdr:cNvPr id="3132" name="Line 13">
          <a:extLst>
            <a:ext uri="{FF2B5EF4-FFF2-40B4-BE49-F238E27FC236}">
              <a16:creationId xmlns:a16="http://schemas.microsoft.com/office/drawing/2014/main" id="{00000000-0008-0000-0200-00003C0C0000}"/>
            </a:ext>
          </a:extLst>
        </xdr:cNvPr>
        <xdr:cNvSpPr>
          <a:spLocks noChangeShapeType="1"/>
        </xdr:cNvSpPr>
      </xdr:nvSpPr>
      <xdr:spPr bwMode="auto">
        <a:xfrm>
          <a:off x="734786" y="2324100"/>
          <a:ext cx="130628" cy="8164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92529</xdr:colOff>
      <xdr:row>15</xdr:row>
      <xdr:rowOff>125186</xdr:rowOff>
    </xdr:from>
    <xdr:to>
      <xdr:col>2</xdr:col>
      <xdr:colOff>168729</xdr:colOff>
      <xdr:row>16</xdr:row>
      <xdr:rowOff>27214</xdr:rowOff>
    </xdr:to>
    <xdr:sp macro="" textlink="">
      <xdr:nvSpPr>
        <xdr:cNvPr id="3133" name="Line 14">
          <a:extLst>
            <a:ext uri="{FF2B5EF4-FFF2-40B4-BE49-F238E27FC236}">
              <a16:creationId xmlns:a16="http://schemas.microsoft.com/office/drawing/2014/main" id="{00000000-0008-0000-0200-00003D0C0000}"/>
            </a:ext>
          </a:extLst>
        </xdr:cNvPr>
        <xdr:cNvSpPr>
          <a:spLocks noChangeShapeType="1"/>
        </xdr:cNvSpPr>
      </xdr:nvSpPr>
      <xdr:spPr bwMode="auto">
        <a:xfrm>
          <a:off x="756557" y="2852057"/>
          <a:ext cx="76200" cy="6531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92529</xdr:colOff>
      <xdr:row>18</xdr:row>
      <xdr:rowOff>125186</xdr:rowOff>
    </xdr:from>
    <xdr:to>
      <xdr:col>2</xdr:col>
      <xdr:colOff>168729</xdr:colOff>
      <xdr:row>19</xdr:row>
      <xdr:rowOff>32657</xdr:rowOff>
    </xdr:to>
    <xdr:sp macro="" textlink="">
      <xdr:nvSpPr>
        <xdr:cNvPr id="3134" name="Line 15">
          <a:extLst>
            <a:ext uri="{FF2B5EF4-FFF2-40B4-BE49-F238E27FC236}">
              <a16:creationId xmlns:a16="http://schemas.microsoft.com/office/drawing/2014/main" id="{00000000-0008-0000-0200-00003E0C0000}"/>
            </a:ext>
          </a:extLst>
        </xdr:cNvPr>
        <xdr:cNvSpPr>
          <a:spLocks noChangeShapeType="1"/>
        </xdr:cNvSpPr>
      </xdr:nvSpPr>
      <xdr:spPr bwMode="auto">
        <a:xfrm>
          <a:off x="756557" y="3358243"/>
          <a:ext cx="76200" cy="7075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201386</xdr:colOff>
      <xdr:row>20</xdr:row>
      <xdr:rowOff>146957</xdr:rowOff>
    </xdr:from>
    <xdr:to>
      <xdr:col>7</xdr:col>
      <xdr:colOff>48986</xdr:colOff>
      <xdr:row>21</xdr:row>
      <xdr:rowOff>27214</xdr:rowOff>
    </xdr:to>
    <xdr:sp macro="" textlink="">
      <xdr:nvSpPr>
        <xdr:cNvPr id="3135" name="Line 16">
          <a:extLst>
            <a:ext uri="{FF2B5EF4-FFF2-40B4-BE49-F238E27FC236}">
              <a16:creationId xmlns:a16="http://schemas.microsoft.com/office/drawing/2014/main" id="{00000000-0008-0000-0200-00003F0C0000}"/>
            </a:ext>
          </a:extLst>
        </xdr:cNvPr>
        <xdr:cNvSpPr>
          <a:spLocks noChangeShapeType="1"/>
        </xdr:cNvSpPr>
      </xdr:nvSpPr>
      <xdr:spPr bwMode="auto">
        <a:xfrm flipH="1">
          <a:off x="2193471" y="3722914"/>
          <a:ext cx="97972" cy="5987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239486</xdr:colOff>
      <xdr:row>20</xdr:row>
      <xdr:rowOff>163286</xdr:rowOff>
    </xdr:from>
    <xdr:to>
      <xdr:col>8</xdr:col>
      <xdr:colOff>21771</xdr:colOff>
      <xdr:row>21</xdr:row>
      <xdr:rowOff>27214</xdr:rowOff>
    </xdr:to>
    <xdr:sp macro="" textlink="">
      <xdr:nvSpPr>
        <xdr:cNvPr id="3136" name="Line 17">
          <a:extLst>
            <a:ext uri="{FF2B5EF4-FFF2-40B4-BE49-F238E27FC236}">
              <a16:creationId xmlns:a16="http://schemas.microsoft.com/office/drawing/2014/main" id="{00000000-0008-0000-0200-0000400C0000}"/>
            </a:ext>
          </a:extLst>
        </xdr:cNvPr>
        <xdr:cNvSpPr>
          <a:spLocks noChangeShapeType="1"/>
        </xdr:cNvSpPr>
      </xdr:nvSpPr>
      <xdr:spPr bwMode="auto">
        <a:xfrm flipH="1">
          <a:off x="2481943" y="3739243"/>
          <a:ext cx="43543" cy="4354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310243</xdr:colOff>
      <xdr:row>21</xdr:row>
      <xdr:rowOff>146957</xdr:rowOff>
    </xdr:from>
    <xdr:to>
      <xdr:col>6</xdr:col>
      <xdr:colOff>38100</xdr:colOff>
      <xdr:row>22</xdr:row>
      <xdr:rowOff>27214</xdr:rowOff>
    </xdr:to>
    <xdr:sp macro="" textlink="">
      <xdr:nvSpPr>
        <xdr:cNvPr id="3137" name="Line 18">
          <a:extLst>
            <a:ext uri="{FF2B5EF4-FFF2-40B4-BE49-F238E27FC236}">
              <a16:creationId xmlns:a16="http://schemas.microsoft.com/office/drawing/2014/main" id="{00000000-0008-0000-0200-0000410C0000}"/>
            </a:ext>
          </a:extLst>
        </xdr:cNvPr>
        <xdr:cNvSpPr>
          <a:spLocks noChangeShapeType="1"/>
        </xdr:cNvSpPr>
      </xdr:nvSpPr>
      <xdr:spPr bwMode="auto">
        <a:xfrm flipH="1">
          <a:off x="1970314" y="3902529"/>
          <a:ext cx="59872" cy="5987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108857</xdr:colOff>
      <xdr:row>12</xdr:row>
      <xdr:rowOff>97971</xdr:rowOff>
    </xdr:from>
    <xdr:to>
      <xdr:col>7</xdr:col>
      <xdr:colOff>108857</xdr:colOff>
      <xdr:row>13</xdr:row>
      <xdr:rowOff>70757</xdr:rowOff>
    </xdr:to>
    <xdr:sp macro="" textlink="">
      <xdr:nvSpPr>
        <xdr:cNvPr id="3138" name="Line 19">
          <a:extLst>
            <a:ext uri="{FF2B5EF4-FFF2-40B4-BE49-F238E27FC236}">
              <a16:creationId xmlns:a16="http://schemas.microsoft.com/office/drawing/2014/main" id="{00000000-0008-0000-0200-0000420C0000}"/>
            </a:ext>
          </a:extLst>
        </xdr:cNvPr>
        <xdr:cNvSpPr>
          <a:spLocks noChangeShapeType="1"/>
        </xdr:cNvSpPr>
      </xdr:nvSpPr>
      <xdr:spPr bwMode="auto">
        <a:xfrm flipH="1">
          <a:off x="2351314" y="2296886"/>
          <a:ext cx="0" cy="136071"/>
        </a:xfrm>
        <a:prstGeom prst="line">
          <a:avLst/>
        </a:prstGeom>
        <a:noFill/>
        <a:ln w="1714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15</xdr:row>
      <xdr:rowOff>43543</xdr:rowOff>
    </xdr:from>
    <xdr:to>
      <xdr:col>7</xdr:col>
      <xdr:colOff>0</xdr:colOff>
      <xdr:row>16</xdr:row>
      <xdr:rowOff>70757</xdr:rowOff>
    </xdr:to>
    <xdr:sp macro="" textlink="">
      <xdr:nvSpPr>
        <xdr:cNvPr id="3139" name="Line 20">
          <a:extLst>
            <a:ext uri="{FF2B5EF4-FFF2-40B4-BE49-F238E27FC236}">
              <a16:creationId xmlns:a16="http://schemas.microsoft.com/office/drawing/2014/main" id="{00000000-0008-0000-0200-0000430C0000}"/>
            </a:ext>
          </a:extLst>
        </xdr:cNvPr>
        <xdr:cNvSpPr>
          <a:spLocks noChangeShapeType="1"/>
        </xdr:cNvSpPr>
      </xdr:nvSpPr>
      <xdr:spPr bwMode="auto">
        <a:xfrm flipH="1">
          <a:off x="2242457" y="2770414"/>
          <a:ext cx="0" cy="190500"/>
        </a:xfrm>
        <a:prstGeom prst="line">
          <a:avLst/>
        </a:prstGeom>
        <a:noFill/>
        <a:ln w="1714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239486</xdr:colOff>
      <xdr:row>21</xdr:row>
      <xdr:rowOff>146957</xdr:rowOff>
    </xdr:from>
    <xdr:to>
      <xdr:col>8</xdr:col>
      <xdr:colOff>38100</xdr:colOff>
      <xdr:row>22</xdr:row>
      <xdr:rowOff>27214</xdr:rowOff>
    </xdr:to>
    <xdr:sp macro="" textlink="">
      <xdr:nvSpPr>
        <xdr:cNvPr id="3140" name="Line 21">
          <a:extLst>
            <a:ext uri="{FF2B5EF4-FFF2-40B4-BE49-F238E27FC236}">
              <a16:creationId xmlns:a16="http://schemas.microsoft.com/office/drawing/2014/main" id="{00000000-0008-0000-0200-0000440C0000}"/>
            </a:ext>
          </a:extLst>
        </xdr:cNvPr>
        <xdr:cNvSpPr>
          <a:spLocks noChangeShapeType="1"/>
        </xdr:cNvSpPr>
      </xdr:nvSpPr>
      <xdr:spPr bwMode="auto">
        <a:xfrm flipH="1">
          <a:off x="2481943" y="3902529"/>
          <a:ext cx="59871" cy="5987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321129</xdr:colOff>
      <xdr:row>15</xdr:row>
      <xdr:rowOff>108857</xdr:rowOff>
    </xdr:from>
    <xdr:to>
      <xdr:col>2</xdr:col>
      <xdr:colOff>21771</xdr:colOff>
      <xdr:row>19</xdr:row>
      <xdr:rowOff>32657</xdr:rowOff>
    </xdr:to>
    <xdr:sp macro="" textlink="">
      <xdr:nvSpPr>
        <xdr:cNvPr id="3141" name="Zeichnung 22">
          <a:extLst>
            <a:ext uri="{FF2B5EF4-FFF2-40B4-BE49-F238E27FC236}">
              <a16:creationId xmlns:a16="http://schemas.microsoft.com/office/drawing/2014/main" id="{00000000-0008-0000-0200-0000450C0000}"/>
            </a:ext>
          </a:extLst>
        </xdr:cNvPr>
        <xdr:cNvSpPr>
          <a:spLocks/>
        </xdr:cNvSpPr>
      </xdr:nvSpPr>
      <xdr:spPr bwMode="auto">
        <a:xfrm>
          <a:off x="653143" y="2835729"/>
          <a:ext cx="32657" cy="593271"/>
        </a:xfrm>
        <a:custGeom>
          <a:avLst/>
          <a:gdLst>
            <a:gd name="T0" fmla="*/ 2979 w 16384"/>
            <a:gd name="T1" fmla="*/ 0 h 16384"/>
            <a:gd name="T2" fmla="*/ 5958 w 16384"/>
            <a:gd name="T3" fmla="*/ 318 h 16384"/>
            <a:gd name="T4" fmla="*/ 8937 w 16384"/>
            <a:gd name="T5" fmla="*/ 795 h 16384"/>
            <a:gd name="T6" fmla="*/ 14895 w 16384"/>
            <a:gd name="T7" fmla="*/ 1432 h 16384"/>
            <a:gd name="T8" fmla="*/ 16384 w 16384"/>
            <a:gd name="T9" fmla="*/ 1750 h 16384"/>
            <a:gd name="T10" fmla="*/ 16384 w 16384"/>
            <a:gd name="T11" fmla="*/ 2306 h 16384"/>
            <a:gd name="T12" fmla="*/ 14895 w 16384"/>
            <a:gd name="T13" fmla="*/ 2625 h 16384"/>
            <a:gd name="T14" fmla="*/ 11916 w 16384"/>
            <a:gd name="T15" fmla="*/ 2943 h 16384"/>
            <a:gd name="T16" fmla="*/ 7447 w 16384"/>
            <a:gd name="T17" fmla="*/ 3659 h 16384"/>
            <a:gd name="T18" fmla="*/ 4468 w 16384"/>
            <a:gd name="T19" fmla="*/ 3897 h 16384"/>
            <a:gd name="T20" fmla="*/ 2979 w 16384"/>
            <a:gd name="T21" fmla="*/ 4215 h 16384"/>
            <a:gd name="T22" fmla="*/ 2979 w 16384"/>
            <a:gd name="T23" fmla="*/ 5488 h 16384"/>
            <a:gd name="T24" fmla="*/ 5958 w 16384"/>
            <a:gd name="T25" fmla="*/ 6124 h 16384"/>
            <a:gd name="T26" fmla="*/ 5958 w 16384"/>
            <a:gd name="T27" fmla="*/ 6601 h 16384"/>
            <a:gd name="T28" fmla="*/ 8937 w 16384"/>
            <a:gd name="T29" fmla="*/ 7079 h 16384"/>
            <a:gd name="T30" fmla="*/ 8937 w 16384"/>
            <a:gd name="T31" fmla="*/ 7715 h 16384"/>
            <a:gd name="T32" fmla="*/ 11916 w 16384"/>
            <a:gd name="T33" fmla="*/ 8192 h 16384"/>
            <a:gd name="T34" fmla="*/ 11916 w 16384"/>
            <a:gd name="T35" fmla="*/ 8431 h 16384"/>
            <a:gd name="T36" fmla="*/ 13405 w 16384"/>
            <a:gd name="T37" fmla="*/ 8669 h 16384"/>
            <a:gd name="T38" fmla="*/ 13405 w 16384"/>
            <a:gd name="T39" fmla="*/ 8987 h 16384"/>
            <a:gd name="T40" fmla="*/ 16384 w 16384"/>
            <a:gd name="T41" fmla="*/ 9465 h 16384"/>
            <a:gd name="T42" fmla="*/ 16384 w 16384"/>
            <a:gd name="T43" fmla="*/ 10976 h 16384"/>
            <a:gd name="T44" fmla="*/ 13405 w 16384"/>
            <a:gd name="T45" fmla="*/ 11214 h 16384"/>
            <a:gd name="T46" fmla="*/ 10426 w 16384"/>
            <a:gd name="T47" fmla="*/ 11691 h 16384"/>
            <a:gd name="T48" fmla="*/ 7447 w 16384"/>
            <a:gd name="T49" fmla="*/ 11930 h 16384"/>
            <a:gd name="T50" fmla="*/ 1489 w 16384"/>
            <a:gd name="T51" fmla="*/ 12566 h 16384"/>
            <a:gd name="T52" fmla="*/ 0 w 16384"/>
            <a:gd name="T53" fmla="*/ 12885 h 16384"/>
            <a:gd name="T54" fmla="*/ 0 w 16384"/>
            <a:gd name="T55" fmla="*/ 13441 h 16384"/>
            <a:gd name="T56" fmla="*/ 8937 w 16384"/>
            <a:gd name="T57" fmla="*/ 14396 h 16384"/>
            <a:gd name="T58" fmla="*/ 11916 w 16384"/>
            <a:gd name="T59" fmla="*/ 14634 h 16384"/>
            <a:gd name="T60" fmla="*/ 11916 w 16384"/>
            <a:gd name="T61" fmla="*/ 15907 h 16384"/>
            <a:gd name="T62" fmla="*/ 10426 w 16384"/>
            <a:gd name="T63" fmla="*/ 16145 h 16384"/>
            <a:gd name="T64" fmla="*/ 10426 w 16384"/>
            <a:gd name="T65" fmla="*/ 16384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16384" h="16384">
              <a:moveTo>
                <a:pt x="2979" y="0"/>
              </a:moveTo>
              <a:lnTo>
                <a:pt x="5958" y="318"/>
              </a:lnTo>
              <a:lnTo>
                <a:pt x="8937" y="795"/>
              </a:lnTo>
              <a:lnTo>
                <a:pt x="14895" y="1432"/>
              </a:lnTo>
              <a:lnTo>
                <a:pt x="16384" y="1750"/>
              </a:lnTo>
              <a:lnTo>
                <a:pt x="16384" y="2306"/>
              </a:lnTo>
              <a:lnTo>
                <a:pt x="14895" y="2625"/>
              </a:lnTo>
              <a:lnTo>
                <a:pt x="11916" y="2943"/>
              </a:lnTo>
              <a:lnTo>
                <a:pt x="7447" y="3659"/>
              </a:lnTo>
              <a:lnTo>
                <a:pt x="4468" y="3897"/>
              </a:lnTo>
              <a:lnTo>
                <a:pt x="2979" y="4215"/>
              </a:lnTo>
              <a:lnTo>
                <a:pt x="2979" y="5488"/>
              </a:lnTo>
              <a:lnTo>
                <a:pt x="5958" y="6124"/>
              </a:lnTo>
              <a:lnTo>
                <a:pt x="5958" y="6601"/>
              </a:lnTo>
              <a:lnTo>
                <a:pt x="8937" y="7079"/>
              </a:lnTo>
              <a:lnTo>
                <a:pt x="8937" y="7715"/>
              </a:lnTo>
              <a:lnTo>
                <a:pt x="11916" y="8192"/>
              </a:lnTo>
              <a:lnTo>
                <a:pt x="11916" y="8431"/>
              </a:lnTo>
              <a:lnTo>
                <a:pt x="13405" y="8669"/>
              </a:lnTo>
              <a:lnTo>
                <a:pt x="13405" y="8987"/>
              </a:lnTo>
              <a:lnTo>
                <a:pt x="16384" y="9465"/>
              </a:lnTo>
              <a:lnTo>
                <a:pt x="16384" y="10976"/>
              </a:lnTo>
              <a:lnTo>
                <a:pt x="13405" y="11214"/>
              </a:lnTo>
              <a:lnTo>
                <a:pt x="10426" y="11691"/>
              </a:lnTo>
              <a:lnTo>
                <a:pt x="7447" y="11930"/>
              </a:lnTo>
              <a:lnTo>
                <a:pt x="1489" y="12566"/>
              </a:lnTo>
              <a:lnTo>
                <a:pt x="0" y="12885"/>
              </a:lnTo>
              <a:lnTo>
                <a:pt x="0" y="13441"/>
              </a:lnTo>
              <a:lnTo>
                <a:pt x="8937" y="14396"/>
              </a:lnTo>
              <a:lnTo>
                <a:pt x="11916" y="14634"/>
              </a:lnTo>
              <a:lnTo>
                <a:pt x="11916" y="15907"/>
              </a:lnTo>
              <a:lnTo>
                <a:pt x="10426" y="16145"/>
              </a:lnTo>
              <a:lnTo>
                <a:pt x="10426" y="16384"/>
              </a:lnTo>
            </a:path>
          </a:pathLst>
        </a:cu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</xdr:col>
      <xdr:colOff>163286</xdr:colOff>
      <xdr:row>40</xdr:row>
      <xdr:rowOff>10886</xdr:rowOff>
    </xdr:from>
    <xdr:to>
      <xdr:col>4</xdr:col>
      <xdr:colOff>234043</xdr:colOff>
      <xdr:row>41</xdr:row>
      <xdr:rowOff>54429</xdr:rowOff>
    </xdr:to>
    <xdr:sp macro="" textlink="">
      <xdr:nvSpPr>
        <xdr:cNvPr id="3142" name="Rectangle 23">
          <a:extLst>
            <a:ext uri="{FF2B5EF4-FFF2-40B4-BE49-F238E27FC236}">
              <a16:creationId xmlns:a16="http://schemas.microsoft.com/office/drawing/2014/main" id="{00000000-0008-0000-0200-0000460C0000}"/>
            </a:ext>
          </a:extLst>
        </xdr:cNvPr>
        <xdr:cNvSpPr>
          <a:spLocks noChangeArrowheads="1"/>
        </xdr:cNvSpPr>
      </xdr:nvSpPr>
      <xdr:spPr bwMode="auto">
        <a:xfrm>
          <a:off x="495300" y="6977743"/>
          <a:ext cx="1066800" cy="20138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1</xdr:col>
      <xdr:colOff>92529</xdr:colOff>
      <xdr:row>41</xdr:row>
      <xdr:rowOff>65314</xdr:rowOff>
    </xdr:from>
    <xdr:to>
      <xdr:col>4</xdr:col>
      <xdr:colOff>310243</xdr:colOff>
      <xdr:row>42</xdr:row>
      <xdr:rowOff>114300</xdr:rowOff>
    </xdr:to>
    <xdr:sp macro="" textlink="">
      <xdr:nvSpPr>
        <xdr:cNvPr id="3143" name="Rectangle 24">
          <a:extLst>
            <a:ext uri="{FF2B5EF4-FFF2-40B4-BE49-F238E27FC236}">
              <a16:creationId xmlns:a16="http://schemas.microsoft.com/office/drawing/2014/main" id="{00000000-0008-0000-0200-0000470C0000}"/>
            </a:ext>
          </a:extLst>
        </xdr:cNvPr>
        <xdr:cNvSpPr>
          <a:spLocks noChangeArrowheads="1"/>
        </xdr:cNvSpPr>
      </xdr:nvSpPr>
      <xdr:spPr bwMode="auto">
        <a:xfrm>
          <a:off x="424543" y="7190014"/>
          <a:ext cx="1213757" cy="20682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10</xdr:col>
      <xdr:colOff>348343</xdr:colOff>
      <xdr:row>35</xdr:row>
      <xdr:rowOff>10886</xdr:rowOff>
    </xdr:from>
    <xdr:to>
      <xdr:col>10</xdr:col>
      <xdr:colOff>348343</xdr:colOff>
      <xdr:row>41</xdr:row>
      <xdr:rowOff>10886</xdr:rowOff>
    </xdr:to>
    <xdr:sp macro="" textlink="">
      <xdr:nvSpPr>
        <xdr:cNvPr id="3144" name="Line 25">
          <a:extLst>
            <a:ext uri="{FF2B5EF4-FFF2-40B4-BE49-F238E27FC236}">
              <a16:creationId xmlns:a16="http://schemas.microsoft.com/office/drawing/2014/main" id="{00000000-0008-0000-0200-0000480C0000}"/>
            </a:ext>
          </a:extLst>
        </xdr:cNvPr>
        <xdr:cNvSpPr>
          <a:spLocks noChangeShapeType="1"/>
        </xdr:cNvSpPr>
      </xdr:nvSpPr>
      <xdr:spPr bwMode="auto">
        <a:xfrm>
          <a:off x="3499757" y="6123214"/>
          <a:ext cx="0" cy="1012372"/>
        </a:xfrm>
        <a:prstGeom prst="line">
          <a:avLst/>
        </a:prstGeom>
        <a:noFill/>
        <a:ln w="24765" cap="flat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81643</xdr:colOff>
      <xdr:row>34</xdr:row>
      <xdr:rowOff>119743</xdr:rowOff>
    </xdr:from>
    <xdr:to>
      <xdr:col>12</xdr:col>
      <xdr:colOff>81643</xdr:colOff>
      <xdr:row>41</xdr:row>
      <xdr:rowOff>65314</xdr:rowOff>
    </xdr:to>
    <xdr:sp macro="" textlink="">
      <xdr:nvSpPr>
        <xdr:cNvPr id="3145" name="Line 26">
          <a:extLst>
            <a:ext uri="{FF2B5EF4-FFF2-40B4-BE49-F238E27FC236}">
              <a16:creationId xmlns:a16="http://schemas.microsoft.com/office/drawing/2014/main" id="{00000000-0008-0000-0200-0000490C0000}"/>
            </a:ext>
          </a:extLst>
        </xdr:cNvPr>
        <xdr:cNvSpPr>
          <a:spLocks noChangeShapeType="1"/>
        </xdr:cNvSpPr>
      </xdr:nvSpPr>
      <xdr:spPr bwMode="auto">
        <a:xfrm flipH="1">
          <a:off x="3913414" y="6074229"/>
          <a:ext cx="0" cy="111578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272143</xdr:colOff>
      <xdr:row>35</xdr:row>
      <xdr:rowOff>0</xdr:rowOff>
    </xdr:from>
    <xdr:to>
      <xdr:col>14</xdr:col>
      <xdr:colOff>97971</xdr:colOff>
      <xdr:row>35</xdr:row>
      <xdr:rowOff>0</xdr:rowOff>
    </xdr:to>
    <xdr:sp macro="" textlink="">
      <xdr:nvSpPr>
        <xdr:cNvPr id="3146" name="Line 27">
          <a:extLst>
            <a:ext uri="{FF2B5EF4-FFF2-40B4-BE49-F238E27FC236}">
              <a16:creationId xmlns:a16="http://schemas.microsoft.com/office/drawing/2014/main" id="{00000000-0008-0000-0200-00004A0C0000}"/>
            </a:ext>
          </a:extLst>
        </xdr:cNvPr>
        <xdr:cNvSpPr>
          <a:spLocks noChangeShapeType="1"/>
        </xdr:cNvSpPr>
      </xdr:nvSpPr>
      <xdr:spPr bwMode="auto">
        <a:xfrm>
          <a:off x="3771900" y="6112329"/>
          <a:ext cx="821871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283029</xdr:colOff>
      <xdr:row>38</xdr:row>
      <xdr:rowOff>0</xdr:rowOff>
    </xdr:from>
    <xdr:to>
      <xdr:col>12</xdr:col>
      <xdr:colOff>163286</xdr:colOff>
      <xdr:row>38</xdr:row>
      <xdr:rowOff>0</xdr:rowOff>
    </xdr:to>
    <xdr:sp macro="" textlink="">
      <xdr:nvSpPr>
        <xdr:cNvPr id="3147" name="Line 28">
          <a:extLst>
            <a:ext uri="{FF2B5EF4-FFF2-40B4-BE49-F238E27FC236}">
              <a16:creationId xmlns:a16="http://schemas.microsoft.com/office/drawing/2014/main" id="{00000000-0008-0000-0200-00004B0C0000}"/>
            </a:ext>
          </a:extLst>
        </xdr:cNvPr>
        <xdr:cNvSpPr>
          <a:spLocks noChangeShapeType="1"/>
        </xdr:cNvSpPr>
      </xdr:nvSpPr>
      <xdr:spPr bwMode="auto">
        <a:xfrm>
          <a:off x="3782786" y="6629400"/>
          <a:ext cx="212271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283029</xdr:colOff>
      <xdr:row>38</xdr:row>
      <xdr:rowOff>16329</xdr:rowOff>
    </xdr:from>
    <xdr:to>
      <xdr:col>12</xdr:col>
      <xdr:colOff>163286</xdr:colOff>
      <xdr:row>38</xdr:row>
      <xdr:rowOff>16329</xdr:rowOff>
    </xdr:to>
    <xdr:sp macro="" textlink="">
      <xdr:nvSpPr>
        <xdr:cNvPr id="3148" name="Line 29">
          <a:extLst>
            <a:ext uri="{FF2B5EF4-FFF2-40B4-BE49-F238E27FC236}">
              <a16:creationId xmlns:a16="http://schemas.microsoft.com/office/drawing/2014/main" id="{00000000-0008-0000-0200-00004C0C0000}"/>
            </a:ext>
          </a:extLst>
        </xdr:cNvPr>
        <xdr:cNvSpPr>
          <a:spLocks noChangeShapeType="1"/>
        </xdr:cNvSpPr>
      </xdr:nvSpPr>
      <xdr:spPr bwMode="auto">
        <a:xfrm>
          <a:off x="3782786" y="6645729"/>
          <a:ext cx="212271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272143</xdr:colOff>
      <xdr:row>41</xdr:row>
      <xdr:rowOff>0</xdr:rowOff>
    </xdr:from>
    <xdr:to>
      <xdr:col>14</xdr:col>
      <xdr:colOff>97971</xdr:colOff>
      <xdr:row>41</xdr:row>
      <xdr:rowOff>0</xdr:rowOff>
    </xdr:to>
    <xdr:sp macro="" textlink="">
      <xdr:nvSpPr>
        <xdr:cNvPr id="3149" name="Line 30">
          <a:extLst>
            <a:ext uri="{FF2B5EF4-FFF2-40B4-BE49-F238E27FC236}">
              <a16:creationId xmlns:a16="http://schemas.microsoft.com/office/drawing/2014/main" id="{00000000-0008-0000-0200-00004D0C0000}"/>
            </a:ext>
          </a:extLst>
        </xdr:cNvPr>
        <xdr:cNvSpPr>
          <a:spLocks noChangeShapeType="1"/>
        </xdr:cNvSpPr>
      </xdr:nvSpPr>
      <xdr:spPr bwMode="auto">
        <a:xfrm>
          <a:off x="3771900" y="7124700"/>
          <a:ext cx="821871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375557</xdr:colOff>
      <xdr:row>13</xdr:row>
      <xdr:rowOff>0</xdr:rowOff>
    </xdr:from>
    <xdr:to>
      <xdr:col>11</xdr:col>
      <xdr:colOff>310243</xdr:colOff>
      <xdr:row>13</xdr:row>
      <xdr:rowOff>0</xdr:rowOff>
    </xdr:to>
    <xdr:sp macro="" textlink="">
      <xdr:nvSpPr>
        <xdr:cNvPr id="3150" name="Line 31">
          <a:extLst>
            <a:ext uri="{FF2B5EF4-FFF2-40B4-BE49-F238E27FC236}">
              <a16:creationId xmlns:a16="http://schemas.microsoft.com/office/drawing/2014/main" id="{00000000-0008-0000-0200-00004E0C0000}"/>
            </a:ext>
          </a:extLst>
        </xdr:cNvPr>
        <xdr:cNvSpPr>
          <a:spLocks noChangeShapeType="1"/>
        </xdr:cNvSpPr>
      </xdr:nvSpPr>
      <xdr:spPr bwMode="auto">
        <a:xfrm flipH="1" flipV="1">
          <a:off x="2879271" y="2362200"/>
          <a:ext cx="930729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arrow" w="sm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364671</xdr:colOff>
      <xdr:row>16</xdr:row>
      <xdr:rowOff>0</xdr:rowOff>
    </xdr:from>
    <xdr:to>
      <xdr:col>11</xdr:col>
      <xdr:colOff>310243</xdr:colOff>
      <xdr:row>16</xdr:row>
      <xdr:rowOff>0</xdr:rowOff>
    </xdr:to>
    <xdr:sp macro="" textlink="">
      <xdr:nvSpPr>
        <xdr:cNvPr id="3151" name="Line 32">
          <a:extLst>
            <a:ext uri="{FF2B5EF4-FFF2-40B4-BE49-F238E27FC236}">
              <a16:creationId xmlns:a16="http://schemas.microsoft.com/office/drawing/2014/main" id="{00000000-0008-0000-0200-00004F0C0000}"/>
            </a:ext>
          </a:extLst>
        </xdr:cNvPr>
        <xdr:cNvSpPr>
          <a:spLocks noChangeShapeType="1"/>
        </xdr:cNvSpPr>
      </xdr:nvSpPr>
      <xdr:spPr bwMode="auto">
        <a:xfrm flipH="1" flipV="1">
          <a:off x="2868386" y="2890157"/>
          <a:ext cx="941614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arrow" w="sm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293914</xdr:colOff>
      <xdr:row>35</xdr:row>
      <xdr:rowOff>119743</xdr:rowOff>
    </xdr:from>
    <xdr:to>
      <xdr:col>4</xdr:col>
      <xdr:colOff>108857</xdr:colOff>
      <xdr:row>35</xdr:row>
      <xdr:rowOff>119743</xdr:rowOff>
    </xdr:to>
    <xdr:sp macro="" textlink="">
      <xdr:nvSpPr>
        <xdr:cNvPr id="3152" name="Line 33">
          <a:extLst>
            <a:ext uri="{FF2B5EF4-FFF2-40B4-BE49-F238E27FC236}">
              <a16:creationId xmlns:a16="http://schemas.microsoft.com/office/drawing/2014/main" id="{00000000-0008-0000-0200-0000500C0000}"/>
            </a:ext>
          </a:extLst>
        </xdr:cNvPr>
        <xdr:cNvSpPr>
          <a:spLocks noChangeShapeType="1"/>
        </xdr:cNvSpPr>
      </xdr:nvSpPr>
      <xdr:spPr bwMode="auto">
        <a:xfrm>
          <a:off x="625929" y="6232071"/>
          <a:ext cx="81098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sm" len="sm"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108857</xdr:colOff>
      <xdr:row>35</xdr:row>
      <xdr:rowOff>0</xdr:rowOff>
    </xdr:from>
    <xdr:to>
      <xdr:col>4</xdr:col>
      <xdr:colOff>108857</xdr:colOff>
      <xdr:row>42</xdr:row>
      <xdr:rowOff>103414</xdr:rowOff>
    </xdr:to>
    <xdr:sp macro="" textlink="">
      <xdr:nvSpPr>
        <xdr:cNvPr id="3153" name="Line 34">
          <a:extLst>
            <a:ext uri="{FF2B5EF4-FFF2-40B4-BE49-F238E27FC236}">
              <a16:creationId xmlns:a16="http://schemas.microsoft.com/office/drawing/2014/main" id="{00000000-0008-0000-0200-0000510C0000}"/>
            </a:ext>
          </a:extLst>
        </xdr:cNvPr>
        <xdr:cNvSpPr>
          <a:spLocks noChangeShapeType="1"/>
        </xdr:cNvSpPr>
      </xdr:nvSpPr>
      <xdr:spPr bwMode="auto">
        <a:xfrm>
          <a:off x="1436914" y="6112329"/>
          <a:ext cx="0" cy="1273628"/>
        </a:xfrm>
        <a:prstGeom prst="line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299357</xdr:colOff>
      <xdr:row>34</xdr:row>
      <xdr:rowOff>174171</xdr:rowOff>
    </xdr:from>
    <xdr:to>
      <xdr:col>1</xdr:col>
      <xdr:colOff>299357</xdr:colOff>
      <xdr:row>42</xdr:row>
      <xdr:rowOff>103414</xdr:rowOff>
    </xdr:to>
    <xdr:sp macro="" textlink="">
      <xdr:nvSpPr>
        <xdr:cNvPr id="3154" name="Line 35">
          <a:extLst>
            <a:ext uri="{FF2B5EF4-FFF2-40B4-BE49-F238E27FC236}">
              <a16:creationId xmlns:a16="http://schemas.microsoft.com/office/drawing/2014/main" id="{00000000-0008-0000-0200-0000520C0000}"/>
            </a:ext>
          </a:extLst>
        </xdr:cNvPr>
        <xdr:cNvSpPr>
          <a:spLocks noChangeShapeType="1"/>
        </xdr:cNvSpPr>
      </xdr:nvSpPr>
      <xdr:spPr bwMode="auto">
        <a:xfrm>
          <a:off x="631371" y="6112329"/>
          <a:ext cx="0" cy="1273628"/>
        </a:xfrm>
        <a:prstGeom prst="line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32657</xdr:colOff>
      <xdr:row>35</xdr:row>
      <xdr:rowOff>0</xdr:rowOff>
    </xdr:from>
    <xdr:to>
      <xdr:col>4</xdr:col>
      <xdr:colOff>59871</xdr:colOff>
      <xdr:row>35</xdr:row>
      <xdr:rowOff>92529</xdr:rowOff>
    </xdr:to>
    <xdr:sp macro="" textlink="">
      <xdr:nvSpPr>
        <xdr:cNvPr id="3155" name="Text 36">
          <a:extLst>
            <a:ext uri="{FF2B5EF4-FFF2-40B4-BE49-F238E27FC236}">
              <a16:creationId xmlns:a16="http://schemas.microsoft.com/office/drawing/2014/main" id="{00000000-0008-0000-0200-0000530C0000}"/>
            </a:ext>
          </a:extLst>
        </xdr:cNvPr>
        <xdr:cNvSpPr txBox="1">
          <a:spLocks noChangeArrowheads="1"/>
        </xdr:cNvSpPr>
      </xdr:nvSpPr>
      <xdr:spPr bwMode="auto">
        <a:xfrm>
          <a:off x="696686" y="6112329"/>
          <a:ext cx="691243" cy="9252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600"/>
            </a:lnSpc>
            <a:defRPr sz="1000"/>
          </a:pPr>
          <a:r>
            <a:rPr lang="de-AT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Berechnungsbreite</a:t>
          </a:r>
        </a:p>
        <a:p>
          <a:pPr algn="l" rtl="0">
            <a:lnSpc>
              <a:spcPts val="600"/>
            </a:lnSpc>
            <a:defRPr sz="1000"/>
          </a:pPr>
          <a:endParaRPr lang="de-AT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261257</xdr:colOff>
      <xdr:row>36</xdr:row>
      <xdr:rowOff>0</xdr:rowOff>
    </xdr:from>
    <xdr:to>
      <xdr:col>3</xdr:col>
      <xdr:colOff>97971</xdr:colOff>
      <xdr:row>36</xdr:row>
      <xdr:rowOff>108857</xdr:rowOff>
    </xdr:to>
    <xdr:sp macro="" textlink="">
      <xdr:nvSpPr>
        <xdr:cNvPr id="3156" name="Text 37">
          <a:extLst>
            <a:ext uri="{FF2B5EF4-FFF2-40B4-BE49-F238E27FC236}">
              <a16:creationId xmlns:a16="http://schemas.microsoft.com/office/drawing/2014/main" id="{00000000-0008-0000-0200-0000540C0000}"/>
            </a:ext>
          </a:extLst>
        </xdr:cNvPr>
        <xdr:cNvSpPr txBox="1">
          <a:spLocks noChangeArrowheads="1"/>
        </xdr:cNvSpPr>
      </xdr:nvSpPr>
      <xdr:spPr bwMode="auto">
        <a:xfrm>
          <a:off x="925286" y="6270171"/>
          <a:ext cx="168728" cy="10885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AT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B </a:t>
          </a:r>
          <a:r>
            <a:rPr lang="de-AT" sz="600" b="0" i="0" u="none" strike="noStrike" baseline="-2500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12</xdr:col>
      <xdr:colOff>261257</xdr:colOff>
      <xdr:row>37</xdr:row>
      <xdr:rowOff>119743</xdr:rowOff>
    </xdr:from>
    <xdr:to>
      <xdr:col>13</xdr:col>
      <xdr:colOff>234043</xdr:colOff>
      <xdr:row>38</xdr:row>
      <xdr:rowOff>119743</xdr:rowOff>
    </xdr:to>
    <xdr:sp macro="" textlink="">
      <xdr:nvSpPr>
        <xdr:cNvPr id="3157" name="Text 38">
          <a:extLst>
            <a:ext uri="{FF2B5EF4-FFF2-40B4-BE49-F238E27FC236}">
              <a16:creationId xmlns:a16="http://schemas.microsoft.com/office/drawing/2014/main" id="{00000000-0008-0000-0200-0000550C0000}"/>
            </a:ext>
          </a:extLst>
        </xdr:cNvPr>
        <xdr:cNvSpPr txBox="1">
          <a:spLocks noChangeArrowheads="1"/>
        </xdr:cNvSpPr>
      </xdr:nvSpPr>
      <xdr:spPr bwMode="auto">
        <a:xfrm>
          <a:off x="4093029" y="6569529"/>
          <a:ext cx="304800" cy="17961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600"/>
            </a:lnSpc>
            <a:defRPr sz="1000"/>
          </a:pPr>
          <a:r>
            <a:rPr lang="de-AT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 Fuge</a:t>
          </a:r>
        </a:p>
        <a:p>
          <a:pPr algn="l" rtl="0">
            <a:defRPr sz="1000"/>
          </a:pPr>
          <a:r>
            <a:rPr lang="de-AT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 5mm</a:t>
          </a:r>
        </a:p>
      </xdr:txBody>
    </xdr:sp>
    <xdr:clientData/>
  </xdr:twoCellAnchor>
  <xdr:twoCellAnchor>
    <xdr:from>
      <xdr:col>12</xdr:col>
      <xdr:colOff>141514</xdr:colOff>
      <xdr:row>38</xdr:row>
      <xdr:rowOff>10886</xdr:rowOff>
    </xdr:from>
    <xdr:to>
      <xdr:col>12</xdr:col>
      <xdr:colOff>261257</xdr:colOff>
      <xdr:row>38</xdr:row>
      <xdr:rowOff>10886</xdr:rowOff>
    </xdr:to>
    <xdr:sp macro="" textlink="">
      <xdr:nvSpPr>
        <xdr:cNvPr id="3158" name="Line 39">
          <a:extLst>
            <a:ext uri="{FF2B5EF4-FFF2-40B4-BE49-F238E27FC236}">
              <a16:creationId xmlns:a16="http://schemas.microsoft.com/office/drawing/2014/main" id="{00000000-0008-0000-0200-0000560C0000}"/>
            </a:ext>
          </a:extLst>
        </xdr:cNvPr>
        <xdr:cNvSpPr>
          <a:spLocks noChangeShapeType="1"/>
        </xdr:cNvSpPr>
      </xdr:nvSpPr>
      <xdr:spPr bwMode="auto">
        <a:xfrm flipH="1">
          <a:off x="3973286" y="6640286"/>
          <a:ext cx="119743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38100</xdr:colOff>
      <xdr:row>34</xdr:row>
      <xdr:rowOff>141514</xdr:rowOff>
    </xdr:from>
    <xdr:to>
      <xdr:col>14</xdr:col>
      <xdr:colOff>38100</xdr:colOff>
      <xdr:row>41</xdr:row>
      <xdr:rowOff>38100</xdr:rowOff>
    </xdr:to>
    <xdr:sp macro="" textlink="">
      <xdr:nvSpPr>
        <xdr:cNvPr id="3159" name="Line 40">
          <a:extLst>
            <a:ext uri="{FF2B5EF4-FFF2-40B4-BE49-F238E27FC236}">
              <a16:creationId xmlns:a16="http://schemas.microsoft.com/office/drawing/2014/main" id="{00000000-0008-0000-0200-0000570C0000}"/>
            </a:ext>
          </a:extLst>
        </xdr:cNvPr>
        <xdr:cNvSpPr>
          <a:spLocks noChangeShapeType="1"/>
        </xdr:cNvSpPr>
      </xdr:nvSpPr>
      <xdr:spPr bwMode="auto">
        <a:xfrm flipH="1">
          <a:off x="4533900" y="6096000"/>
          <a:ext cx="0" cy="1066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59871</xdr:colOff>
      <xdr:row>34</xdr:row>
      <xdr:rowOff>141514</xdr:rowOff>
    </xdr:from>
    <xdr:to>
      <xdr:col>12</xdr:col>
      <xdr:colOff>97971</xdr:colOff>
      <xdr:row>35</xdr:row>
      <xdr:rowOff>16329</xdr:rowOff>
    </xdr:to>
    <xdr:sp macro="" textlink="">
      <xdr:nvSpPr>
        <xdr:cNvPr id="3160" name="Line 41">
          <a:extLst>
            <a:ext uri="{FF2B5EF4-FFF2-40B4-BE49-F238E27FC236}">
              <a16:creationId xmlns:a16="http://schemas.microsoft.com/office/drawing/2014/main" id="{00000000-0008-0000-0200-0000580C0000}"/>
            </a:ext>
          </a:extLst>
        </xdr:cNvPr>
        <xdr:cNvSpPr>
          <a:spLocks noChangeShapeType="1"/>
        </xdr:cNvSpPr>
      </xdr:nvSpPr>
      <xdr:spPr bwMode="auto">
        <a:xfrm>
          <a:off x="3891643" y="6096000"/>
          <a:ext cx="38100" cy="3265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21771</xdr:colOff>
      <xdr:row>34</xdr:row>
      <xdr:rowOff>141514</xdr:rowOff>
    </xdr:from>
    <xdr:to>
      <xdr:col>14</xdr:col>
      <xdr:colOff>70757</xdr:colOff>
      <xdr:row>35</xdr:row>
      <xdr:rowOff>16329</xdr:rowOff>
    </xdr:to>
    <xdr:sp macro="" textlink="">
      <xdr:nvSpPr>
        <xdr:cNvPr id="3161" name="Line 42">
          <a:extLst>
            <a:ext uri="{FF2B5EF4-FFF2-40B4-BE49-F238E27FC236}">
              <a16:creationId xmlns:a16="http://schemas.microsoft.com/office/drawing/2014/main" id="{00000000-0008-0000-0200-0000590C0000}"/>
            </a:ext>
          </a:extLst>
        </xdr:cNvPr>
        <xdr:cNvSpPr>
          <a:spLocks noChangeShapeType="1"/>
        </xdr:cNvSpPr>
      </xdr:nvSpPr>
      <xdr:spPr bwMode="auto">
        <a:xfrm>
          <a:off x="4517571" y="6096000"/>
          <a:ext cx="48986" cy="3265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59871</xdr:colOff>
      <xdr:row>37</xdr:row>
      <xdr:rowOff>168729</xdr:rowOff>
    </xdr:from>
    <xdr:to>
      <xdr:col>12</xdr:col>
      <xdr:colOff>97971</xdr:colOff>
      <xdr:row>38</xdr:row>
      <xdr:rowOff>10886</xdr:rowOff>
    </xdr:to>
    <xdr:sp macro="" textlink="">
      <xdr:nvSpPr>
        <xdr:cNvPr id="3162" name="Line 43">
          <a:extLst>
            <a:ext uri="{FF2B5EF4-FFF2-40B4-BE49-F238E27FC236}">
              <a16:creationId xmlns:a16="http://schemas.microsoft.com/office/drawing/2014/main" id="{00000000-0008-0000-0200-00005A0C0000}"/>
            </a:ext>
          </a:extLst>
        </xdr:cNvPr>
        <xdr:cNvSpPr>
          <a:spLocks noChangeShapeType="1"/>
        </xdr:cNvSpPr>
      </xdr:nvSpPr>
      <xdr:spPr bwMode="auto">
        <a:xfrm>
          <a:off x="3891643" y="6618514"/>
          <a:ext cx="38100" cy="2177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59871</xdr:colOff>
      <xdr:row>38</xdr:row>
      <xdr:rowOff>10886</xdr:rowOff>
    </xdr:from>
    <xdr:to>
      <xdr:col>12</xdr:col>
      <xdr:colOff>108857</xdr:colOff>
      <xdr:row>38</xdr:row>
      <xdr:rowOff>38100</xdr:rowOff>
    </xdr:to>
    <xdr:sp macro="" textlink="">
      <xdr:nvSpPr>
        <xdr:cNvPr id="3163" name="Line 44">
          <a:extLst>
            <a:ext uri="{FF2B5EF4-FFF2-40B4-BE49-F238E27FC236}">
              <a16:creationId xmlns:a16="http://schemas.microsoft.com/office/drawing/2014/main" id="{00000000-0008-0000-0200-00005B0C0000}"/>
            </a:ext>
          </a:extLst>
        </xdr:cNvPr>
        <xdr:cNvSpPr>
          <a:spLocks noChangeShapeType="1"/>
        </xdr:cNvSpPr>
      </xdr:nvSpPr>
      <xdr:spPr bwMode="auto">
        <a:xfrm>
          <a:off x="3891643" y="6640286"/>
          <a:ext cx="48986" cy="2721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59871</xdr:colOff>
      <xdr:row>40</xdr:row>
      <xdr:rowOff>141514</xdr:rowOff>
    </xdr:from>
    <xdr:to>
      <xdr:col>12</xdr:col>
      <xdr:colOff>97971</xdr:colOff>
      <xdr:row>41</xdr:row>
      <xdr:rowOff>16329</xdr:rowOff>
    </xdr:to>
    <xdr:sp macro="" textlink="">
      <xdr:nvSpPr>
        <xdr:cNvPr id="3164" name="Line 45">
          <a:extLst>
            <a:ext uri="{FF2B5EF4-FFF2-40B4-BE49-F238E27FC236}">
              <a16:creationId xmlns:a16="http://schemas.microsoft.com/office/drawing/2014/main" id="{00000000-0008-0000-0200-00005C0C0000}"/>
            </a:ext>
          </a:extLst>
        </xdr:cNvPr>
        <xdr:cNvSpPr>
          <a:spLocks noChangeShapeType="1"/>
        </xdr:cNvSpPr>
      </xdr:nvSpPr>
      <xdr:spPr bwMode="auto">
        <a:xfrm>
          <a:off x="3891643" y="7108371"/>
          <a:ext cx="38100" cy="3265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10886</xdr:colOff>
      <xdr:row>40</xdr:row>
      <xdr:rowOff>141514</xdr:rowOff>
    </xdr:from>
    <xdr:to>
      <xdr:col>14</xdr:col>
      <xdr:colOff>70757</xdr:colOff>
      <xdr:row>41</xdr:row>
      <xdr:rowOff>16329</xdr:rowOff>
    </xdr:to>
    <xdr:sp macro="" textlink="">
      <xdr:nvSpPr>
        <xdr:cNvPr id="3165" name="Line 46">
          <a:extLst>
            <a:ext uri="{FF2B5EF4-FFF2-40B4-BE49-F238E27FC236}">
              <a16:creationId xmlns:a16="http://schemas.microsoft.com/office/drawing/2014/main" id="{00000000-0008-0000-0200-00005D0C0000}"/>
            </a:ext>
          </a:extLst>
        </xdr:cNvPr>
        <xdr:cNvSpPr>
          <a:spLocks noChangeShapeType="1"/>
        </xdr:cNvSpPr>
      </xdr:nvSpPr>
      <xdr:spPr bwMode="auto">
        <a:xfrm>
          <a:off x="4506686" y="7108371"/>
          <a:ext cx="59871" cy="3265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190500</xdr:colOff>
      <xdr:row>40</xdr:row>
      <xdr:rowOff>65314</xdr:rowOff>
    </xdr:from>
    <xdr:to>
      <xdr:col>3</xdr:col>
      <xdr:colOff>152400</xdr:colOff>
      <xdr:row>41</xdr:row>
      <xdr:rowOff>16329</xdr:rowOff>
    </xdr:to>
    <xdr:sp macro="" textlink="">
      <xdr:nvSpPr>
        <xdr:cNvPr id="3166" name="Text 47">
          <a:extLst>
            <a:ext uri="{FF2B5EF4-FFF2-40B4-BE49-F238E27FC236}">
              <a16:creationId xmlns:a16="http://schemas.microsoft.com/office/drawing/2014/main" id="{00000000-0008-0000-0200-00005E0C0000}"/>
            </a:ext>
          </a:extLst>
        </xdr:cNvPr>
        <xdr:cNvSpPr txBox="1">
          <a:spLocks noChangeArrowheads="1"/>
        </xdr:cNvSpPr>
      </xdr:nvSpPr>
      <xdr:spPr bwMode="auto">
        <a:xfrm>
          <a:off x="854529" y="7032171"/>
          <a:ext cx="293914" cy="10885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AT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B</a:t>
          </a:r>
          <a:r>
            <a:rPr lang="de-AT" sz="600" b="0" i="0" u="none" strike="noStrike" baseline="-25000">
              <a:solidFill>
                <a:srgbClr val="000000"/>
              </a:solidFill>
              <a:latin typeface="Arial"/>
              <a:cs typeface="Arial"/>
            </a:rPr>
            <a:t>1</a:t>
          </a:r>
          <a:r>
            <a:rPr lang="de-AT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= B</a:t>
          </a:r>
          <a:r>
            <a:rPr lang="de-AT" sz="600" b="0" i="0" u="none" strike="noStrike" baseline="-2500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</xdr:row>
      <xdr:rowOff>114300</xdr:rowOff>
    </xdr:from>
    <xdr:to>
      <xdr:col>9</xdr:col>
      <xdr:colOff>332014</xdr:colOff>
      <xdr:row>6</xdr:row>
      <xdr:rowOff>0</xdr:rowOff>
    </xdr:to>
    <xdr:sp macro="" textlink="">
      <xdr:nvSpPr>
        <xdr:cNvPr id="1248" name="Line 1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ShapeType="1"/>
        </xdr:cNvSpPr>
      </xdr:nvSpPr>
      <xdr:spPr bwMode="auto">
        <a:xfrm flipV="1">
          <a:off x="3031671" y="1050471"/>
          <a:ext cx="332015" cy="10885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0</xdr:rowOff>
    </xdr:from>
    <xdr:to>
      <xdr:col>10</xdr:col>
      <xdr:colOff>0</xdr:colOff>
      <xdr:row>6</xdr:row>
      <xdr:rowOff>103414</xdr:rowOff>
    </xdr:to>
    <xdr:sp macro="" textlink="">
      <xdr:nvSpPr>
        <xdr:cNvPr id="1249" name="Line 2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ShapeType="1"/>
        </xdr:cNvSpPr>
      </xdr:nvSpPr>
      <xdr:spPr bwMode="auto">
        <a:xfrm>
          <a:off x="3031671" y="1159329"/>
          <a:ext cx="332015" cy="10341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168729</xdr:colOff>
      <xdr:row>19</xdr:row>
      <xdr:rowOff>0</xdr:rowOff>
    </xdr:from>
    <xdr:to>
      <xdr:col>8</xdr:col>
      <xdr:colOff>92529</xdr:colOff>
      <xdr:row>19</xdr:row>
      <xdr:rowOff>0</xdr:rowOff>
    </xdr:to>
    <xdr:sp macro="" textlink="">
      <xdr:nvSpPr>
        <xdr:cNvPr id="1250" name="Line 3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ShapeType="1"/>
        </xdr:cNvSpPr>
      </xdr:nvSpPr>
      <xdr:spPr bwMode="auto">
        <a:xfrm>
          <a:off x="2215243" y="3145971"/>
          <a:ext cx="413657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201386</xdr:colOff>
      <xdr:row>20</xdr:row>
      <xdr:rowOff>0</xdr:rowOff>
    </xdr:from>
    <xdr:to>
      <xdr:col>8</xdr:col>
      <xdr:colOff>81643</xdr:colOff>
      <xdr:row>20</xdr:row>
      <xdr:rowOff>0</xdr:rowOff>
    </xdr:to>
    <xdr:sp macro="" textlink="">
      <xdr:nvSpPr>
        <xdr:cNvPr id="1251" name="Line 4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ShapeType="1"/>
        </xdr:cNvSpPr>
      </xdr:nvSpPr>
      <xdr:spPr bwMode="auto">
        <a:xfrm>
          <a:off x="1872343" y="3325586"/>
          <a:ext cx="745671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108857</xdr:rowOff>
    </xdr:from>
    <xdr:to>
      <xdr:col>7</xdr:col>
      <xdr:colOff>0</xdr:colOff>
      <xdr:row>19</xdr:row>
      <xdr:rowOff>43543</xdr:rowOff>
    </xdr:to>
    <xdr:sp macro="" textlink="">
      <xdr:nvSpPr>
        <xdr:cNvPr id="1252" name="Line 5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ShapeType="1"/>
        </xdr:cNvSpPr>
      </xdr:nvSpPr>
      <xdr:spPr bwMode="auto">
        <a:xfrm>
          <a:off x="2286000" y="3075214"/>
          <a:ext cx="0" cy="114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119743</xdr:rowOff>
    </xdr:from>
    <xdr:to>
      <xdr:col>8</xdr:col>
      <xdr:colOff>0</xdr:colOff>
      <xdr:row>20</xdr:row>
      <xdr:rowOff>70757</xdr:rowOff>
    </xdr:to>
    <xdr:sp macro="" textlink="">
      <xdr:nvSpPr>
        <xdr:cNvPr id="1253" name="Line 6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ShapeType="1"/>
        </xdr:cNvSpPr>
      </xdr:nvSpPr>
      <xdr:spPr bwMode="auto">
        <a:xfrm flipH="1">
          <a:off x="2536371" y="3086100"/>
          <a:ext cx="0" cy="31024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19</xdr:row>
      <xdr:rowOff>87086</xdr:rowOff>
    </xdr:from>
    <xdr:to>
      <xdr:col>6</xdr:col>
      <xdr:colOff>0</xdr:colOff>
      <xdr:row>20</xdr:row>
      <xdr:rowOff>43543</xdr:rowOff>
    </xdr:to>
    <xdr:sp macro="" textlink="">
      <xdr:nvSpPr>
        <xdr:cNvPr id="1254" name="Line 7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ShapeType="1"/>
        </xdr:cNvSpPr>
      </xdr:nvSpPr>
      <xdr:spPr bwMode="auto">
        <a:xfrm>
          <a:off x="2046514" y="3233057"/>
          <a:ext cx="0" cy="13607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130629</xdr:colOff>
      <xdr:row>4</xdr:row>
      <xdr:rowOff>103414</xdr:rowOff>
    </xdr:from>
    <xdr:to>
      <xdr:col>2</xdr:col>
      <xdr:colOff>130629</xdr:colOff>
      <xdr:row>17</xdr:row>
      <xdr:rowOff>92529</xdr:rowOff>
    </xdr:to>
    <xdr:sp macro="" textlink="">
      <xdr:nvSpPr>
        <xdr:cNvPr id="1255" name="Line 8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ShapeType="1"/>
        </xdr:cNvSpPr>
      </xdr:nvSpPr>
      <xdr:spPr bwMode="auto">
        <a:xfrm>
          <a:off x="734786" y="810986"/>
          <a:ext cx="0" cy="206828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244929</xdr:colOff>
      <xdr:row>5</xdr:row>
      <xdr:rowOff>0</xdr:rowOff>
    </xdr:from>
    <xdr:to>
      <xdr:col>4</xdr:col>
      <xdr:colOff>332014</xdr:colOff>
      <xdr:row>5</xdr:row>
      <xdr:rowOff>0</xdr:rowOff>
    </xdr:to>
    <xdr:sp macro="" textlink="">
      <xdr:nvSpPr>
        <xdr:cNvPr id="1256" name="Line 9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ShapeType="1"/>
        </xdr:cNvSpPr>
      </xdr:nvSpPr>
      <xdr:spPr bwMode="auto">
        <a:xfrm>
          <a:off x="495300" y="936171"/>
          <a:ext cx="1175657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223157</xdr:colOff>
      <xdr:row>11</xdr:row>
      <xdr:rowOff>0</xdr:rowOff>
    </xdr:from>
    <xdr:to>
      <xdr:col>4</xdr:col>
      <xdr:colOff>223157</xdr:colOff>
      <xdr:row>11</xdr:row>
      <xdr:rowOff>0</xdr:rowOff>
    </xdr:to>
    <xdr:sp macro="" textlink="">
      <xdr:nvSpPr>
        <xdr:cNvPr id="1257" name="Line 10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ShapeType="1"/>
        </xdr:cNvSpPr>
      </xdr:nvSpPr>
      <xdr:spPr bwMode="auto">
        <a:xfrm>
          <a:off x="473529" y="1948543"/>
          <a:ext cx="1099457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293914</xdr:colOff>
      <xdr:row>5</xdr:row>
      <xdr:rowOff>76200</xdr:rowOff>
    </xdr:from>
    <xdr:to>
      <xdr:col>10</xdr:col>
      <xdr:colOff>293914</xdr:colOff>
      <xdr:row>17</xdr:row>
      <xdr:rowOff>103414</xdr:rowOff>
    </xdr:to>
    <xdr:sp macro="" textlink="">
      <xdr:nvSpPr>
        <xdr:cNvPr id="1258" name="Line 12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ShapeType="1"/>
        </xdr:cNvSpPr>
      </xdr:nvSpPr>
      <xdr:spPr bwMode="auto">
        <a:xfrm flipH="1">
          <a:off x="3657600" y="1012371"/>
          <a:ext cx="0" cy="187778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179614</xdr:colOff>
      <xdr:row>5</xdr:row>
      <xdr:rowOff>130629</xdr:rowOff>
    </xdr:from>
    <xdr:to>
      <xdr:col>11</xdr:col>
      <xdr:colOff>38100</xdr:colOff>
      <xdr:row>6</xdr:row>
      <xdr:rowOff>65314</xdr:rowOff>
    </xdr:to>
    <xdr:sp macro="" textlink="">
      <xdr:nvSpPr>
        <xdr:cNvPr id="1259" name="Line 13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ShapeType="1"/>
        </xdr:cNvSpPr>
      </xdr:nvSpPr>
      <xdr:spPr bwMode="auto">
        <a:xfrm>
          <a:off x="3543300" y="1066800"/>
          <a:ext cx="190500" cy="15784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234043</xdr:colOff>
      <xdr:row>16</xdr:row>
      <xdr:rowOff>54429</xdr:rowOff>
    </xdr:from>
    <xdr:to>
      <xdr:col>11</xdr:col>
      <xdr:colOff>32657</xdr:colOff>
      <xdr:row>17</xdr:row>
      <xdr:rowOff>59871</xdr:rowOff>
    </xdr:to>
    <xdr:sp macro="" textlink="">
      <xdr:nvSpPr>
        <xdr:cNvPr id="1260" name="Line 14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ShapeType="1"/>
        </xdr:cNvSpPr>
      </xdr:nvSpPr>
      <xdr:spPr bwMode="auto">
        <a:xfrm>
          <a:off x="3597729" y="2721429"/>
          <a:ext cx="130628" cy="12518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48986</xdr:colOff>
      <xdr:row>4</xdr:row>
      <xdr:rowOff>146957</xdr:rowOff>
    </xdr:from>
    <xdr:to>
      <xdr:col>2</xdr:col>
      <xdr:colOff>201386</xdr:colOff>
      <xdr:row>5</xdr:row>
      <xdr:rowOff>81643</xdr:rowOff>
    </xdr:to>
    <xdr:sp macro="" textlink="">
      <xdr:nvSpPr>
        <xdr:cNvPr id="1261" name="Line 15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ShapeType="1"/>
        </xdr:cNvSpPr>
      </xdr:nvSpPr>
      <xdr:spPr bwMode="auto">
        <a:xfrm>
          <a:off x="653143" y="854529"/>
          <a:ext cx="152400" cy="16328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70757</xdr:colOff>
      <xdr:row>10</xdr:row>
      <xdr:rowOff>125186</xdr:rowOff>
    </xdr:from>
    <xdr:to>
      <xdr:col>2</xdr:col>
      <xdr:colOff>201386</xdr:colOff>
      <xdr:row>11</xdr:row>
      <xdr:rowOff>48986</xdr:rowOff>
    </xdr:to>
    <xdr:sp macro="" textlink="">
      <xdr:nvSpPr>
        <xdr:cNvPr id="1262" name="Line 16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ShapeType="1"/>
        </xdr:cNvSpPr>
      </xdr:nvSpPr>
      <xdr:spPr bwMode="auto">
        <a:xfrm>
          <a:off x="674914" y="1910443"/>
          <a:ext cx="130629" cy="8708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92529</xdr:colOff>
      <xdr:row>13</xdr:row>
      <xdr:rowOff>65314</xdr:rowOff>
    </xdr:from>
    <xdr:to>
      <xdr:col>2</xdr:col>
      <xdr:colOff>179614</xdr:colOff>
      <xdr:row>14</xdr:row>
      <xdr:rowOff>59871</xdr:rowOff>
    </xdr:to>
    <xdr:sp macro="" textlink="">
      <xdr:nvSpPr>
        <xdr:cNvPr id="1263" name="Line 17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ShapeType="1"/>
        </xdr:cNvSpPr>
      </xdr:nvSpPr>
      <xdr:spPr bwMode="auto">
        <a:xfrm>
          <a:off x="696686" y="2356757"/>
          <a:ext cx="87085" cy="114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92529</xdr:colOff>
      <xdr:row>16</xdr:row>
      <xdr:rowOff>48986</xdr:rowOff>
    </xdr:from>
    <xdr:to>
      <xdr:col>2</xdr:col>
      <xdr:colOff>201386</xdr:colOff>
      <xdr:row>17</xdr:row>
      <xdr:rowOff>59871</xdr:rowOff>
    </xdr:to>
    <xdr:sp macro="" textlink="">
      <xdr:nvSpPr>
        <xdr:cNvPr id="1264" name="Line 18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ShapeType="1"/>
        </xdr:cNvSpPr>
      </xdr:nvSpPr>
      <xdr:spPr bwMode="auto">
        <a:xfrm>
          <a:off x="696686" y="2715986"/>
          <a:ext cx="108857" cy="13062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201386</xdr:colOff>
      <xdr:row>18</xdr:row>
      <xdr:rowOff>146957</xdr:rowOff>
    </xdr:from>
    <xdr:to>
      <xdr:col>7</xdr:col>
      <xdr:colOff>48986</xdr:colOff>
      <xdr:row>19</xdr:row>
      <xdr:rowOff>27214</xdr:rowOff>
    </xdr:to>
    <xdr:sp macro="" textlink="">
      <xdr:nvSpPr>
        <xdr:cNvPr id="1265" name="Line 19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ShapeType="1"/>
        </xdr:cNvSpPr>
      </xdr:nvSpPr>
      <xdr:spPr bwMode="auto">
        <a:xfrm flipH="1">
          <a:off x="2247900" y="3113314"/>
          <a:ext cx="87086" cy="5987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212271</xdr:colOff>
      <xdr:row>18</xdr:row>
      <xdr:rowOff>146957</xdr:rowOff>
    </xdr:from>
    <xdr:to>
      <xdr:col>8</xdr:col>
      <xdr:colOff>48986</xdr:colOff>
      <xdr:row>19</xdr:row>
      <xdr:rowOff>32657</xdr:rowOff>
    </xdr:to>
    <xdr:sp macro="" textlink="">
      <xdr:nvSpPr>
        <xdr:cNvPr id="1266" name="Line 20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ShapeType="1"/>
        </xdr:cNvSpPr>
      </xdr:nvSpPr>
      <xdr:spPr bwMode="auto">
        <a:xfrm flipH="1">
          <a:off x="2498271" y="3113314"/>
          <a:ext cx="87086" cy="6531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337457</xdr:colOff>
      <xdr:row>19</xdr:row>
      <xdr:rowOff>136071</xdr:rowOff>
    </xdr:from>
    <xdr:to>
      <xdr:col>6</xdr:col>
      <xdr:colOff>38100</xdr:colOff>
      <xdr:row>20</xdr:row>
      <xdr:rowOff>32657</xdr:rowOff>
    </xdr:to>
    <xdr:sp macro="" textlink="">
      <xdr:nvSpPr>
        <xdr:cNvPr id="1267" name="Line 21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ShapeType="1"/>
        </xdr:cNvSpPr>
      </xdr:nvSpPr>
      <xdr:spPr bwMode="auto">
        <a:xfrm flipH="1">
          <a:off x="2008414" y="3282043"/>
          <a:ext cx="76200" cy="76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5</xdr:row>
      <xdr:rowOff>10886</xdr:rowOff>
    </xdr:from>
    <xdr:to>
      <xdr:col>13</xdr:col>
      <xdr:colOff>163286</xdr:colOff>
      <xdr:row>10</xdr:row>
      <xdr:rowOff>125186</xdr:rowOff>
    </xdr:to>
    <xdr:sp macro="" textlink="">
      <xdr:nvSpPr>
        <xdr:cNvPr id="1268" name="Rectangle 22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rrowheads="1"/>
        </xdr:cNvSpPr>
      </xdr:nvSpPr>
      <xdr:spPr bwMode="auto">
        <a:xfrm>
          <a:off x="4337957" y="947057"/>
          <a:ext cx="163286" cy="96338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10</xdr:row>
      <xdr:rowOff>136071</xdr:rowOff>
    </xdr:from>
    <xdr:to>
      <xdr:col>13</xdr:col>
      <xdr:colOff>163286</xdr:colOff>
      <xdr:row>13</xdr:row>
      <xdr:rowOff>114300</xdr:rowOff>
    </xdr:to>
    <xdr:sp macro="" textlink="">
      <xdr:nvSpPr>
        <xdr:cNvPr id="1269" name="Rectangle 23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rrowheads="1"/>
        </xdr:cNvSpPr>
      </xdr:nvSpPr>
      <xdr:spPr bwMode="auto">
        <a:xfrm>
          <a:off x="4337957" y="1921329"/>
          <a:ext cx="163286" cy="48441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12</xdr:col>
      <xdr:colOff>32657</xdr:colOff>
      <xdr:row>12</xdr:row>
      <xdr:rowOff>97971</xdr:rowOff>
    </xdr:from>
    <xdr:to>
      <xdr:col>14</xdr:col>
      <xdr:colOff>239486</xdr:colOff>
      <xdr:row>12</xdr:row>
      <xdr:rowOff>97971</xdr:rowOff>
    </xdr:to>
    <xdr:sp macro="" textlink="">
      <xdr:nvSpPr>
        <xdr:cNvPr id="1270" name="Line 24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ShapeType="1"/>
        </xdr:cNvSpPr>
      </xdr:nvSpPr>
      <xdr:spPr bwMode="auto">
        <a:xfrm>
          <a:off x="4049486" y="2198914"/>
          <a:ext cx="84908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32657</xdr:colOff>
      <xdr:row>12</xdr:row>
      <xdr:rowOff>97971</xdr:rowOff>
    </xdr:from>
    <xdr:to>
      <xdr:col>12</xdr:col>
      <xdr:colOff>92529</xdr:colOff>
      <xdr:row>12</xdr:row>
      <xdr:rowOff>146957</xdr:rowOff>
    </xdr:to>
    <xdr:sp macro="" textlink="">
      <xdr:nvSpPr>
        <xdr:cNvPr id="1271" name="Line 26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ShapeType="1"/>
        </xdr:cNvSpPr>
      </xdr:nvSpPr>
      <xdr:spPr bwMode="auto">
        <a:xfrm>
          <a:off x="4049486" y="2198914"/>
          <a:ext cx="59871" cy="4898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92529</xdr:colOff>
      <xdr:row>8</xdr:row>
      <xdr:rowOff>10886</xdr:rowOff>
    </xdr:from>
    <xdr:to>
      <xdr:col>15</xdr:col>
      <xdr:colOff>108857</xdr:colOff>
      <xdr:row>8</xdr:row>
      <xdr:rowOff>10886</xdr:rowOff>
    </xdr:to>
    <xdr:sp macro="" textlink="">
      <xdr:nvSpPr>
        <xdr:cNvPr id="1272" name="Line 27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ShapeType="1"/>
        </xdr:cNvSpPr>
      </xdr:nvSpPr>
      <xdr:spPr bwMode="auto">
        <a:xfrm>
          <a:off x="4109357" y="1469571"/>
          <a:ext cx="979714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92529</xdr:colOff>
      <xdr:row>7</xdr:row>
      <xdr:rowOff>146957</xdr:rowOff>
    </xdr:from>
    <xdr:to>
      <xdr:col>12</xdr:col>
      <xdr:colOff>163286</xdr:colOff>
      <xdr:row>8</xdr:row>
      <xdr:rowOff>10886</xdr:rowOff>
    </xdr:to>
    <xdr:sp macro="" textlink="">
      <xdr:nvSpPr>
        <xdr:cNvPr id="1273" name="Line 28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ShapeType="1"/>
        </xdr:cNvSpPr>
      </xdr:nvSpPr>
      <xdr:spPr bwMode="auto">
        <a:xfrm flipV="1">
          <a:off x="4109357" y="1426029"/>
          <a:ext cx="70757" cy="435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92529</xdr:colOff>
      <xdr:row>8</xdr:row>
      <xdr:rowOff>10886</xdr:rowOff>
    </xdr:from>
    <xdr:to>
      <xdr:col>12</xdr:col>
      <xdr:colOff>163286</xdr:colOff>
      <xdr:row>8</xdr:row>
      <xdr:rowOff>59871</xdr:rowOff>
    </xdr:to>
    <xdr:sp macro="" textlink="">
      <xdr:nvSpPr>
        <xdr:cNvPr id="1274" name="Line 29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ShapeType="1"/>
        </xdr:cNvSpPr>
      </xdr:nvSpPr>
      <xdr:spPr bwMode="auto">
        <a:xfrm>
          <a:off x="4109357" y="1469571"/>
          <a:ext cx="70757" cy="4898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7</xdr:row>
      <xdr:rowOff>108857</xdr:rowOff>
    </xdr:from>
    <xdr:to>
      <xdr:col>15</xdr:col>
      <xdr:colOff>0</xdr:colOff>
      <xdr:row>17</xdr:row>
      <xdr:rowOff>130629</xdr:rowOff>
    </xdr:to>
    <xdr:sp macro="" textlink="">
      <xdr:nvSpPr>
        <xdr:cNvPr id="1275" name="Line 30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ShapeType="1"/>
        </xdr:cNvSpPr>
      </xdr:nvSpPr>
      <xdr:spPr bwMode="auto">
        <a:xfrm>
          <a:off x="4980214" y="1387929"/>
          <a:ext cx="0" cy="1529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190500</xdr:colOff>
      <xdr:row>12</xdr:row>
      <xdr:rowOff>0</xdr:rowOff>
    </xdr:from>
    <xdr:to>
      <xdr:col>14</xdr:col>
      <xdr:colOff>190500</xdr:colOff>
      <xdr:row>17</xdr:row>
      <xdr:rowOff>130629</xdr:rowOff>
    </xdr:to>
    <xdr:sp macro="" textlink="">
      <xdr:nvSpPr>
        <xdr:cNvPr id="1276" name="Line 31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ShapeType="1"/>
        </xdr:cNvSpPr>
      </xdr:nvSpPr>
      <xdr:spPr bwMode="auto">
        <a:xfrm>
          <a:off x="4849586" y="2100943"/>
          <a:ext cx="0" cy="81642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21771</xdr:colOff>
      <xdr:row>5</xdr:row>
      <xdr:rowOff>119743</xdr:rowOff>
    </xdr:from>
    <xdr:to>
      <xdr:col>10</xdr:col>
      <xdr:colOff>0</xdr:colOff>
      <xdr:row>6</xdr:row>
      <xdr:rowOff>0</xdr:rowOff>
    </xdr:to>
    <xdr:sp macro="" textlink="">
      <xdr:nvSpPr>
        <xdr:cNvPr id="1277" name="Line 32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ShapeType="1"/>
        </xdr:cNvSpPr>
      </xdr:nvSpPr>
      <xdr:spPr bwMode="auto">
        <a:xfrm flipV="1">
          <a:off x="3053443" y="1055914"/>
          <a:ext cx="310243" cy="10341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21771</xdr:colOff>
      <xdr:row>6</xdr:row>
      <xdr:rowOff>0</xdr:rowOff>
    </xdr:from>
    <xdr:to>
      <xdr:col>10</xdr:col>
      <xdr:colOff>0</xdr:colOff>
      <xdr:row>6</xdr:row>
      <xdr:rowOff>97971</xdr:rowOff>
    </xdr:to>
    <xdr:sp macro="" textlink="">
      <xdr:nvSpPr>
        <xdr:cNvPr id="1278" name="Line 33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ShapeType="1"/>
        </xdr:cNvSpPr>
      </xdr:nvSpPr>
      <xdr:spPr bwMode="auto">
        <a:xfrm>
          <a:off x="3053443" y="1159329"/>
          <a:ext cx="310243" cy="9797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</xdr:row>
      <xdr:rowOff>114300</xdr:rowOff>
    </xdr:from>
    <xdr:to>
      <xdr:col>10</xdr:col>
      <xdr:colOff>0</xdr:colOff>
      <xdr:row>6</xdr:row>
      <xdr:rowOff>114300</xdr:rowOff>
    </xdr:to>
    <xdr:sp macro="" textlink="">
      <xdr:nvSpPr>
        <xdr:cNvPr id="1279" name="Line 34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ShapeType="1"/>
        </xdr:cNvSpPr>
      </xdr:nvSpPr>
      <xdr:spPr bwMode="auto">
        <a:xfrm flipH="1">
          <a:off x="3363686" y="1050471"/>
          <a:ext cx="0" cy="22315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108857</xdr:colOff>
      <xdr:row>10</xdr:row>
      <xdr:rowOff>97971</xdr:rowOff>
    </xdr:from>
    <xdr:to>
      <xdr:col>7</xdr:col>
      <xdr:colOff>108857</xdr:colOff>
      <xdr:row>11</xdr:row>
      <xdr:rowOff>76200</xdr:rowOff>
    </xdr:to>
    <xdr:sp macro="" textlink="">
      <xdr:nvSpPr>
        <xdr:cNvPr id="1280" name="Line 35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ShapeType="1"/>
        </xdr:cNvSpPr>
      </xdr:nvSpPr>
      <xdr:spPr bwMode="auto">
        <a:xfrm flipH="1">
          <a:off x="2394857" y="1883229"/>
          <a:ext cx="0" cy="141514"/>
        </a:xfrm>
        <a:prstGeom prst="line">
          <a:avLst/>
        </a:prstGeom>
        <a:noFill/>
        <a:ln w="1714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13</xdr:row>
      <xdr:rowOff>48986</xdr:rowOff>
    </xdr:from>
    <xdr:to>
      <xdr:col>7</xdr:col>
      <xdr:colOff>0</xdr:colOff>
      <xdr:row>14</xdr:row>
      <xdr:rowOff>76200</xdr:rowOff>
    </xdr:to>
    <xdr:sp macro="" textlink="">
      <xdr:nvSpPr>
        <xdr:cNvPr id="1281" name="Line 36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ShapeType="1"/>
        </xdr:cNvSpPr>
      </xdr:nvSpPr>
      <xdr:spPr bwMode="auto">
        <a:xfrm flipH="1">
          <a:off x="2286000" y="2340429"/>
          <a:ext cx="0" cy="146957"/>
        </a:xfrm>
        <a:prstGeom prst="line">
          <a:avLst/>
        </a:prstGeom>
        <a:noFill/>
        <a:ln w="1714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9</xdr:row>
      <xdr:rowOff>146957</xdr:rowOff>
    </xdr:from>
    <xdr:to>
      <xdr:col>7</xdr:col>
      <xdr:colOff>48986</xdr:colOff>
      <xdr:row>10</xdr:row>
      <xdr:rowOff>108857</xdr:rowOff>
    </xdr:to>
    <xdr:sp macro="" textlink="">
      <xdr:nvSpPr>
        <xdr:cNvPr id="1282" name="Line 37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ShapeType="1"/>
        </xdr:cNvSpPr>
      </xdr:nvSpPr>
      <xdr:spPr bwMode="auto">
        <a:xfrm>
          <a:off x="2046514" y="1774371"/>
          <a:ext cx="288472" cy="11974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141514</xdr:colOff>
      <xdr:row>10</xdr:row>
      <xdr:rowOff>0</xdr:rowOff>
    </xdr:from>
    <xdr:to>
      <xdr:col>6</xdr:col>
      <xdr:colOff>179614</xdr:colOff>
      <xdr:row>13</xdr:row>
      <xdr:rowOff>48986</xdr:rowOff>
    </xdr:to>
    <xdr:sp macro="" textlink="">
      <xdr:nvSpPr>
        <xdr:cNvPr id="1283" name="Line 38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ShapeType="1"/>
        </xdr:cNvSpPr>
      </xdr:nvSpPr>
      <xdr:spPr bwMode="auto">
        <a:xfrm>
          <a:off x="1812471" y="1785257"/>
          <a:ext cx="413658" cy="55517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212271</xdr:colOff>
      <xdr:row>19</xdr:row>
      <xdr:rowOff>136071</xdr:rowOff>
    </xdr:from>
    <xdr:to>
      <xdr:col>8</xdr:col>
      <xdr:colOff>59871</xdr:colOff>
      <xdr:row>20</xdr:row>
      <xdr:rowOff>32657</xdr:rowOff>
    </xdr:to>
    <xdr:sp macro="" textlink="">
      <xdr:nvSpPr>
        <xdr:cNvPr id="1284" name="Line 39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ShapeType="1"/>
        </xdr:cNvSpPr>
      </xdr:nvSpPr>
      <xdr:spPr bwMode="auto">
        <a:xfrm flipH="1">
          <a:off x="2498271" y="3282043"/>
          <a:ext cx="97972" cy="76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321129</xdr:colOff>
      <xdr:row>13</xdr:row>
      <xdr:rowOff>114300</xdr:rowOff>
    </xdr:from>
    <xdr:to>
      <xdr:col>2</xdr:col>
      <xdr:colOff>21771</xdr:colOff>
      <xdr:row>17</xdr:row>
      <xdr:rowOff>32657</xdr:rowOff>
    </xdr:to>
    <xdr:sp macro="" textlink="">
      <xdr:nvSpPr>
        <xdr:cNvPr id="1285" name="Zeichnung 41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/>
        </xdr:cNvSpPr>
      </xdr:nvSpPr>
      <xdr:spPr bwMode="auto">
        <a:xfrm>
          <a:off x="571500" y="2405743"/>
          <a:ext cx="54429" cy="413657"/>
        </a:xfrm>
        <a:custGeom>
          <a:avLst/>
          <a:gdLst>
            <a:gd name="T0" fmla="*/ 2979 w 16384"/>
            <a:gd name="T1" fmla="*/ 0 h 16384"/>
            <a:gd name="T2" fmla="*/ 5958 w 16384"/>
            <a:gd name="T3" fmla="*/ 318 h 16384"/>
            <a:gd name="T4" fmla="*/ 8937 w 16384"/>
            <a:gd name="T5" fmla="*/ 795 h 16384"/>
            <a:gd name="T6" fmla="*/ 14895 w 16384"/>
            <a:gd name="T7" fmla="*/ 1432 h 16384"/>
            <a:gd name="T8" fmla="*/ 16384 w 16384"/>
            <a:gd name="T9" fmla="*/ 1750 h 16384"/>
            <a:gd name="T10" fmla="*/ 16384 w 16384"/>
            <a:gd name="T11" fmla="*/ 2306 h 16384"/>
            <a:gd name="T12" fmla="*/ 14895 w 16384"/>
            <a:gd name="T13" fmla="*/ 2625 h 16384"/>
            <a:gd name="T14" fmla="*/ 11916 w 16384"/>
            <a:gd name="T15" fmla="*/ 2943 h 16384"/>
            <a:gd name="T16" fmla="*/ 7447 w 16384"/>
            <a:gd name="T17" fmla="*/ 3659 h 16384"/>
            <a:gd name="T18" fmla="*/ 4468 w 16384"/>
            <a:gd name="T19" fmla="*/ 3897 h 16384"/>
            <a:gd name="T20" fmla="*/ 2979 w 16384"/>
            <a:gd name="T21" fmla="*/ 4215 h 16384"/>
            <a:gd name="T22" fmla="*/ 2979 w 16384"/>
            <a:gd name="T23" fmla="*/ 5488 h 16384"/>
            <a:gd name="T24" fmla="*/ 5958 w 16384"/>
            <a:gd name="T25" fmla="*/ 6124 h 16384"/>
            <a:gd name="T26" fmla="*/ 5958 w 16384"/>
            <a:gd name="T27" fmla="*/ 6601 h 16384"/>
            <a:gd name="T28" fmla="*/ 8937 w 16384"/>
            <a:gd name="T29" fmla="*/ 7079 h 16384"/>
            <a:gd name="T30" fmla="*/ 8937 w 16384"/>
            <a:gd name="T31" fmla="*/ 7715 h 16384"/>
            <a:gd name="T32" fmla="*/ 11916 w 16384"/>
            <a:gd name="T33" fmla="*/ 8192 h 16384"/>
            <a:gd name="T34" fmla="*/ 11916 w 16384"/>
            <a:gd name="T35" fmla="*/ 8431 h 16384"/>
            <a:gd name="T36" fmla="*/ 13405 w 16384"/>
            <a:gd name="T37" fmla="*/ 8669 h 16384"/>
            <a:gd name="T38" fmla="*/ 13405 w 16384"/>
            <a:gd name="T39" fmla="*/ 8987 h 16384"/>
            <a:gd name="T40" fmla="*/ 16384 w 16384"/>
            <a:gd name="T41" fmla="*/ 9465 h 16384"/>
            <a:gd name="T42" fmla="*/ 16384 w 16384"/>
            <a:gd name="T43" fmla="*/ 10976 h 16384"/>
            <a:gd name="T44" fmla="*/ 13405 w 16384"/>
            <a:gd name="T45" fmla="*/ 11214 h 16384"/>
            <a:gd name="T46" fmla="*/ 10426 w 16384"/>
            <a:gd name="T47" fmla="*/ 11691 h 16384"/>
            <a:gd name="T48" fmla="*/ 7447 w 16384"/>
            <a:gd name="T49" fmla="*/ 11930 h 16384"/>
            <a:gd name="T50" fmla="*/ 1489 w 16384"/>
            <a:gd name="T51" fmla="*/ 12566 h 16384"/>
            <a:gd name="T52" fmla="*/ 0 w 16384"/>
            <a:gd name="T53" fmla="*/ 12885 h 16384"/>
            <a:gd name="T54" fmla="*/ 0 w 16384"/>
            <a:gd name="T55" fmla="*/ 13441 h 16384"/>
            <a:gd name="T56" fmla="*/ 8937 w 16384"/>
            <a:gd name="T57" fmla="*/ 14396 h 16384"/>
            <a:gd name="T58" fmla="*/ 11916 w 16384"/>
            <a:gd name="T59" fmla="*/ 14634 h 16384"/>
            <a:gd name="T60" fmla="*/ 11916 w 16384"/>
            <a:gd name="T61" fmla="*/ 15907 h 16384"/>
            <a:gd name="T62" fmla="*/ 10426 w 16384"/>
            <a:gd name="T63" fmla="*/ 16145 h 16384"/>
            <a:gd name="T64" fmla="*/ 10426 w 16384"/>
            <a:gd name="T65" fmla="*/ 16384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16384" h="16384">
              <a:moveTo>
                <a:pt x="2979" y="0"/>
              </a:moveTo>
              <a:lnTo>
                <a:pt x="5958" y="318"/>
              </a:lnTo>
              <a:lnTo>
                <a:pt x="8937" y="795"/>
              </a:lnTo>
              <a:lnTo>
                <a:pt x="14895" y="1432"/>
              </a:lnTo>
              <a:lnTo>
                <a:pt x="16384" y="1750"/>
              </a:lnTo>
              <a:lnTo>
                <a:pt x="16384" y="2306"/>
              </a:lnTo>
              <a:lnTo>
                <a:pt x="14895" y="2625"/>
              </a:lnTo>
              <a:lnTo>
                <a:pt x="11916" y="2943"/>
              </a:lnTo>
              <a:lnTo>
                <a:pt x="7447" y="3659"/>
              </a:lnTo>
              <a:lnTo>
                <a:pt x="4468" y="3897"/>
              </a:lnTo>
              <a:lnTo>
                <a:pt x="2979" y="4215"/>
              </a:lnTo>
              <a:lnTo>
                <a:pt x="2979" y="5488"/>
              </a:lnTo>
              <a:lnTo>
                <a:pt x="5958" y="6124"/>
              </a:lnTo>
              <a:lnTo>
                <a:pt x="5958" y="6601"/>
              </a:lnTo>
              <a:lnTo>
                <a:pt x="8937" y="7079"/>
              </a:lnTo>
              <a:lnTo>
                <a:pt x="8937" y="7715"/>
              </a:lnTo>
              <a:lnTo>
                <a:pt x="11916" y="8192"/>
              </a:lnTo>
              <a:lnTo>
                <a:pt x="11916" y="8431"/>
              </a:lnTo>
              <a:lnTo>
                <a:pt x="13405" y="8669"/>
              </a:lnTo>
              <a:lnTo>
                <a:pt x="13405" y="8987"/>
              </a:lnTo>
              <a:lnTo>
                <a:pt x="16384" y="9465"/>
              </a:lnTo>
              <a:lnTo>
                <a:pt x="16384" y="10976"/>
              </a:lnTo>
              <a:lnTo>
                <a:pt x="13405" y="11214"/>
              </a:lnTo>
              <a:lnTo>
                <a:pt x="10426" y="11691"/>
              </a:lnTo>
              <a:lnTo>
                <a:pt x="7447" y="11930"/>
              </a:lnTo>
              <a:lnTo>
                <a:pt x="1489" y="12566"/>
              </a:lnTo>
              <a:lnTo>
                <a:pt x="0" y="12885"/>
              </a:lnTo>
              <a:lnTo>
                <a:pt x="0" y="13441"/>
              </a:lnTo>
              <a:lnTo>
                <a:pt x="8937" y="14396"/>
              </a:lnTo>
              <a:lnTo>
                <a:pt x="11916" y="14634"/>
              </a:lnTo>
              <a:lnTo>
                <a:pt x="11916" y="15907"/>
              </a:lnTo>
              <a:lnTo>
                <a:pt x="10426" y="16145"/>
              </a:lnTo>
              <a:lnTo>
                <a:pt x="10426" y="16384"/>
              </a:lnTo>
            </a:path>
          </a:pathLst>
        </a:cu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12</xdr:col>
      <xdr:colOff>32657</xdr:colOff>
      <xdr:row>12</xdr:row>
      <xdr:rowOff>59871</xdr:rowOff>
    </xdr:from>
    <xdr:to>
      <xdr:col>12</xdr:col>
      <xdr:colOff>92529</xdr:colOff>
      <xdr:row>12</xdr:row>
      <xdr:rowOff>97971</xdr:rowOff>
    </xdr:to>
    <xdr:sp macro="" textlink="">
      <xdr:nvSpPr>
        <xdr:cNvPr id="1286" name="Line 42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ShapeType="1"/>
        </xdr:cNvSpPr>
      </xdr:nvSpPr>
      <xdr:spPr bwMode="auto">
        <a:xfrm flipV="1">
          <a:off x="4049486" y="2160814"/>
          <a:ext cx="59871" cy="38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288471</xdr:colOff>
      <xdr:row>7</xdr:row>
      <xdr:rowOff>163286</xdr:rowOff>
    </xdr:from>
    <xdr:to>
      <xdr:col>15</xdr:col>
      <xdr:colOff>32657</xdr:colOff>
      <xdr:row>8</xdr:row>
      <xdr:rowOff>38100</xdr:rowOff>
    </xdr:to>
    <xdr:sp macro="" textlink="">
      <xdr:nvSpPr>
        <xdr:cNvPr id="1287" name="Line 46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ShapeType="1"/>
        </xdr:cNvSpPr>
      </xdr:nvSpPr>
      <xdr:spPr bwMode="auto">
        <a:xfrm>
          <a:off x="4947557" y="1442357"/>
          <a:ext cx="65314" cy="5442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152400</xdr:colOff>
      <xdr:row>12</xdr:row>
      <xdr:rowOff>59871</xdr:rowOff>
    </xdr:from>
    <xdr:to>
      <xdr:col>14</xdr:col>
      <xdr:colOff>234043</xdr:colOff>
      <xdr:row>12</xdr:row>
      <xdr:rowOff>146957</xdr:rowOff>
    </xdr:to>
    <xdr:sp macro="" textlink="">
      <xdr:nvSpPr>
        <xdr:cNvPr id="1288" name="Line 47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ShapeType="1"/>
        </xdr:cNvSpPr>
      </xdr:nvSpPr>
      <xdr:spPr bwMode="auto">
        <a:xfrm>
          <a:off x="4811486" y="2160814"/>
          <a:ext cx="81643" cy="8708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272143</xdr:colOff>
      <xdr:row>16</xdr:row>
      <xdr:rowOff>76200</xdr:rowOff>
    </xdr:from>
    <xdr:to>
      <xdr:col>15</xdr:col>
      <xdr:colOff>48986</xdr:colOff>
      <xdr:row>17</xdr:row>
      <xdr:rowOff>48986</xdr:rowOff>
    </xdr:to>
    <xdr:sp macro="" textlink="">
      <xdr:nvSpPr>
        <xdr:cNvPr id="1289" name="Line 48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ShapeType="1"/>
        </xdr:cNvSpPr>
      </xdr:nvSpPr>
      <xdr:spPr bwMode="auto">
        <a:xfrm>
          <a:off x="4931229" y="2743200"/>
          <a:ext cx="97971" cy="9252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141514</xdr:colOff>
      <xdr:row>16</xdr:row>
      <xdr:rowOff>54429</xdr:rowOff>
    </xdr:from>
    <xdr:to>
      <xdr:col>14</xdr:col>
      <xdr:colOff>239486</xdr:colOff>
      <xdr:row>17</xdr:row>
      <xdr:rowOff>43543</xdr:rowOff>
    </xdr:to>
    <xdr:sp macro="" textlink="">
      <xdr:nvSpPr>
        <xdr:cNvPr id="1290" name="Line 49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ShapeType="1"/>
        </xdr:cNvSpPr>
      </xdr:nvSpPr>
      <xdr:spPr bwMode="auto">
        <a:xfrm>
          <a:off x="4800600" y="2721429"/>
          <a:ext cx="97971" cy="10885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70757</xdr:colOff>
      <xdr:row>9</xdr:row>
      <xdr:rowOff>16329</xdr:rowOff>
    </xdr:from>
    <xdr:to>
      <xdr:col>6</xdr:col>
      <xdr:colOff>0</xdr:colOff>
      <xdr:row>9</xdr:row>
      <xdr:rowOff>146957</xdr:rowOff>
    </xdr:to>
    <xdr:sp macro="" textlink="">
      <xdr:nvSpPr>
        <xdr:cNvPr id="1291" name="Rectangle 62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rrowheads="1"/>
        </xdr:cNvSpPr>
      </xdr:nvSpPr>
      <xdr:spPr bwMode="auto">
        <a:xfrm>
          <a:off x="1420586" y="1643743"/>
          <a:ext cx="625928" cy="13062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12</xdr:col>
      <xdr:colOff>81643</xdr:colOff>
      <xdr:row>55</xdr:row>
      <xdr:rowOff>0</xdr:rowOff>
    </xdr:from>
    <xdr:to>
      <xdr:col>12</xdr:col>
      <xdr:colOff>81643</xdr:colOff>
      <xdr:row>55</xdr:row>
      <xdr:rowOff>0</xdr:rowOff>
    </xdr:to>
    <xdr:sp macro="" textlink="">
      <xdr:nvSpPr>
        <xdr:cNvPr id="1292" name="Line 185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ShapeType="1"/>
        </xdr:cNvSpPr>
      </xdr:nvSpPr>
      <xdr:spPr bwMode="auto">
        <a:xfrm flipH="1">
          <a:off x="4098471" y="9644743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288471</xdr:colOff>
      <xdr:row>30</xdr:row>
      <xdr:rowOff>38100</xdr:rowOff>
    </xdr:from>
    <xdr:to>
      <xdr:col>17</xdr:col>
      <xdr:colOff>179614</xdr:colOff>
      <xdr:row>34</xdr:row>
      <xdr:rowOff>130629</xdr:rowOff>
    </xdr:to>
    <xdr:sp macro="" textlink="">
      <xdr:nvSpPr>
        <xdr:cNvPr id="1293" name="Rectangle 197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rrowheads="1"/>
        </xdr:cNvSpPr>
      </xdr:nvSpPr>
      <xdr:spPr bwMode="auto">
        <a:xfrm>
          <a:off x="4947557" y="5246914"/>
          <a:ext cx="854529" cy="73478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14</xdr:col>
      <xdr:colOff>201386</xdr:colOff>
      <xdr:row>34</xdr:row>
      <xdr:rowOff>141514</xdr:rowOff>
    </xdr:from>
    <xdr:to>
      <xdr:col>17</xdr:col>
      <xdr:colOff>272143</xdr:colOff>
      <xdr:row>35</xdr:row>
      <xdr:rowOff>114300</xdr:rowOff>
    </xdr:to>
    <xdr:sp macro="" textlink="">
      <xdr:nvSpPr>
        <xdr:cNvPr id="1294" name="Rectangle 198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rrowheads="1"/>
        </xdr:cNvSpPr>
      </xdr:nvSpPr>
      <xdr:spPr bwMode="auto">
        <a:xfrm>
          <a:off x="4860471" y="5992586"/>
          <a:ext cx="1034143" cy="13062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14</xdr:col>
      <xdr:colOff>141514</xdr:colOff>
      <xdr:row>35</xdr:row>
      <xdr:rowOff>119743</xdr:rowOff>
    </xdr:from>
    <xdr:to>
      <xdr:col>18</xdr:col>
      <xdr:colOff>38100</xdr:colOff>
      <xdr:row>36</xdr:row>
      <xdr:rowOff>108857</xdr:rowOff>
    </xdr:to>
    <xdr:sp macro="" textlink="">
      <xdr:nvSpPr>
        <xdr:cNvPr id="1295" name="Rectangle 199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rrowheads="1"/>
        </xdr:cNvSpPr>
      </xdr:nvSpPr>
      <xdr:spPr bwMode="auto">
        <a:xfrm>
          <a:off x="4800600" y="6128657"/>
          <a:ext cx="1181100" cy="14695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14</xdr:col>
      <xdr:colOff>299357</xdr:colOff>
      <xdr:row>32</xdr:row>
      <xdr:rowOff>38100</xdr:rowOff>
    </xdr:from>
    <xdr:to>
      <xdr:col>17</xdr:col>
      <xdr:colOff>168729</xdr:colOff>
      <xdr:row>32</xdr:row>
      <xdr:rowOff>38100</xdr:rowOff>
    </xdr:to>
    <xdr:sp macro="" textlink="">
      <xdr:nvSpPr>
        <xdr:cNvPr id="1296" name="Line 200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ShapeType="1"/>
        </xdr:cNvSpPr>
      </xdr:nvSpPr>
      <xdr:spPr bwMode="auto">
        <a:xfrm>
          <a:off x="4958443" y="5568043"/>
          <a:ext cx="832757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sm" len="sm"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152400</xdr:colOff>
      <xdr:row>32</xdr:row>
      <xdr:rowOff>59871</xdr:rowOff>
    </xdr:from>
    <xdr:to>
      <xdr:col>17</xdr:col>
      <xdr:colOff>152400</xdr:colOff>
      <xdr:row>35</xdr:row>
      <xdr:rowOff>146957</xdr:rowOff>
    </xdr:to>
    <xdr:sp macro="" textlink="">
      <xdr:nvSpPr>
        <xdr:cNvPr id="1297" name="Line 201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ShapeType="1"/>
        </xdr:cNvSpPr>
      </xdr:nvSpPr>
      <xdr:spPr bwMode="auto">
        <a:xfrm>
          <a:off x="5774871" y="5589814"/>
          <a:ext cx="0" cy="566057"/>
        </a:xfrm>
        <a:prstGeom prst="line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32</xdr:row>
      <xdr:rowOff>76200</xdr:rowOff>
    </xdr:from>
    <xdr:to>
      <xdr:col>15</xdr:col>
      <xdr:colOff>0</xdr:colOff>
      <xdr:row>35</xdr:row>
      <xdr:rowOff>141514</xdr:rowOff>
    </xdr:to>
    <xdr:sp macro="" textlink="">
      <xdr:nvSpPr>
        <xdr:cNvPr id="1298" name="Line 20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ShapeType="1"/>
        </xdr:cNvSpPr>
      </xdr:nvSpPr>
      <xdr:spPr bwMode="auto">
        <a:xfrm>
          <a:off x="4980214" y="5606143"/>
          <a:ext cx="0" cy="544286"/>
        </a:xfrm>
        <a:prstGeom prst="line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10886</xdr:colOff>
      <xdr:row>31</xdr:row>
      <xdr:rowOff>0</xdr:rowOff>
    </xdr:from>
    <xdr:to>
      <xdr:col>17</xdr:col>
      <xdr:colOff>130629</xdr:colOff>
      <xdr:row>31</xdr:row>
      <xdr:rowOff>114300</xdr:rowOff>
    </xdr:to>
    <xdr:sp macro="" textlink="">
      <xdr:nvSpPr>
        <xdr:cNvPr id="1299" name="Text 203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4991100" y="5372100"/>
          <a:ext cx="76200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600"/>
            </a:lnSpc>
            <a:defRPr sz="1000"/>
          </a:pPr>
          <a:r>
            <a:rPr lang="de-AT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Berechnungsbreite</a:t>
          </a:r>
        </a:p>
        <a:p>
          <a:pPr algn="l" rtl="0">
            <a:defRPr sz="1000"/>
          </a:pPr>
          <a:endParaRPr lang="de-AT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15</xdr:col>
      <xdr:colOff>283029</xdr:colOff>
      <xdr:row>32</xdr:row>
      <xdr:rowOff>65314</xdr:rowOff>
    </xdr:from>
    <xdr:to>
      <xdr:col>16</xdr:col>
      <xdr:colOff>119743</xdr:colOff>
      <xdr:row>33</xdr:row>
      <xdr:rowOff>16329</xdr:rowOff>
    </xdr:to>
    <xdr:sp macro="" textlink="">
      <xdr:nvSpPr>
        <xdr:cNvPr id="1300" name="Text 204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5263243" y="5595257"/>
          <a:ext cx="157843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AT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B </a:t>
          </a:r>
          <a:r>
            <a:rPr lang="de-AT" sz="600" b="0" i="0" u="none" strike="noStrike" baseline="-2500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12</xdr:col>
      <xdr:colOff>59871</xdr:colOff>
      <xdr:row>55</xdr:row>
      <xdr:rowOff>0</xdr:rowOff>
    </xdr:from>
    <xdr:to>
      <xdr:col>12</xdr:col>
      <xdr:colOff>97971</xdr:colOff>
      <xdr:row>55</xdr:row>
      <xdr:rowOff>0</xdr:rowOff>
    </xdr:to>
    <xdr:sp macro="" textlink="">
      <xdr:nvSpPr>
        <xdr:cNvPr id="1301" name="Line 208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ShapeType="1"/>
        </xdr:cNvSpPr>
      </xdr:nvSpPr>
      <xdr:spPr bwMode="auto">
        <a:xfrm>
          <a:off x="4076700" y="9644743"/>
          <a:ext cx="38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59871</xdr:colOff>
      <xdr:row>55</xdr:row>
      <xdr:rowOff>0</xdr:rowOff>
    </xdr:from>
    <xdr:to>
      <xdr:col>12</xdr:col>
      <xdr:colOff>97971</xdr:colOff>
      <xdr:row>55</xdr:row>
      <xdr:rowOff>0</xdr:rowOff>
    </xdr:to>
    <xdr:sp macro="" textlink="">
      <xdr:nvSpPr>
        <xdr:cNvPr id="1302" name="Line 210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ShapeType="1"/>
        </xdr:cNvSpPr>
      </xdr:nvSpPr>
      <xdr:spPr bwMode="auto">
        <a:xfrm>
          <a:off x="4076700" y="9644743"/>
          <a:ext cx="38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59871</xdr:colOff>
      <xdr:row>55</xdr:row>
      <xdr:rowOff>0</xdr:rowOff>
    </xdr:from>
    <xdr:to>
      <xdr:col>12</xdr:col>
      <xdr:colOff>108857</xdr:colOff>
      <xdr:row>55</xdr:row>
      <xdr:rowOff>0</xdr:rowOff>
    </xdr:to>
    <xdr:sp macro="" textlink="">
      <xdr:nvSpPr>
        <xdr:cNvPr id="1303" name="Line 211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ShapeType="1"/>
        </xdr:cNvSpPr>
      </xdr:nvSpPr>
      <xdr:spPr bwMode="auto">
        <a:xfrm>
          <a:off x="4076700" y="9644743"/>
          <a:ext cx="4898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179614</xdr:colOff>
      <xdr:row>35</xdr:row>
      <xdr:rowOff>0</xdr:rowOff>
    </xdr:from>
    <xdr:to>
      <xdr:col>16</xdr:col>
      <xdr:colOff>201386</xdr:colOff>
      <xdr:row>35</xdr:row>
      <xdr:rowOff>103414</xdr:rowOff>
    </xdr:to>
    <xdr:sp macro="" textlink="">
      <xdr:nvSpPr>
        <xdr:cNvPr id="1304" name="Text 223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5159829" y="6008914"/>
          <a:ext cx="342900" cy="1034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AT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B</a:t>
          </a:r>
          <a:r>
            <a:rPr lang="de-AT" sz="600" b="0" i="0" u="none" strike="noStrike" baseline="-25000">
              <a:solidFill>
                <a:srgbClr val="000000"/>
              </a:solidFill>
              <a:latin typeface="Arial"/>
              <a:cs typeface="Arial"/>
            </a:rPr>
            <a:t>1</a:t>
          </a:r>
          <a:r>
            <a:rPr lang="de-AT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= B</a:t>
          </a:r>
          <a:r>
            <a:rPr lang="de-AT" sz="600" b="0" i="0" u="none" strike="noStrike" baseline="-2500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65314</xdr:rowOff>
    </xdr:from>
    <xdr:to>
      <xdr:col>4</xdr:col>
      <xdr:colOff>152400</xdr:colOff>
      <xdr:row>16</xdr:row>
      <xdr:rowOff>0</xdr:rowOff>
    </xdr:to>
    <xdr:sp macro="" textlink="">
      <xdr:nvSpPr>
        <xdr:cNvPr id="2126" name="Rectangle 44">
          <a:extLst>
            <a:ext uri="{FF2B5EF4-FFF2-40B4-BE49-F238E27FC236}">
              <a16:creationId xmlns:a16="http://schemas.microsoft.com/office/drawing/2014/main" id="{00000000-0008-0000-0100-00004E080000}"/>
            </a:ext>
          </a:extLst>
        </xdr:cNvPr>
        <xdr:cNvSpPr>
          <a:spLocks noChangeArrowheads="1"/>
        </xdr:cNvSpPr>
      </xdr:nvSpPr>
      <xdr:spPr bwMode="auto">
        <a:xfrm>
          <a:off x="1034143" y="1578429"/>
          <a:ext cx="152400" cy="10395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6</xdr:col>
      <xdr:colOff>299357</xdr:colOff>
      <xdr:row>25</xdr:row>
      <xdr:rowOff>0</xdr:rowOff>
    </xdr:from>
    <xdr:to>
      <xdr:col>7</xdr:col>
      <xdr:colOff>38100</xdr:colOff>
      <xdr:row>25</xdr:row>
      <xdr:rowOff>0</xdr:rowOff>
    </xdr:to>
    <xdr:sp macro="" textlink="">
      <xdr:nvSpPr>
        <xdr:cNvPr id="2127" name="Oval 5">
          <a:extLst>
            <a:ext uri="{FF2B5EF4-FFF2-40B4-BE49-F238E27FC236}">
              <a16:creationId xmlns:a16="http://schemas.microsoft.com/office/drawing/2014/main" id="{00000000-0008-0000-0100-00004F080000}"/>
            </a:ext>
          </a:extLst>
        </xdr:cNvPr>
        <xdr:cNvSpPr>
          <a:spLocks noChangeArrowheads="1"/>
        </xdr:cNvSpPr>
      </xdr:nvSpPr>
      <xdr:spPr bwMode="auto">
        <a:xfrm>
          <a:off x="1975757" y="4044043"/>
          <a:ext cx="59872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163286</xdr:colOff>
      <xdr:row>25</xdr:row>
      <xdr:rowOff>0</xdr:rowOff>
    </xdr:from>
    <xdr:to>
      <xdr:col>5</xdr:col>
      <xdr:colOff>163286</xdr:colOff>
      <xdr:row>25</xdr:row>
      <xdr:rowOff>0</xdr:rowOff>
    </xdr:to>
    <xdr:sp macro="" textlink="">
      <xdr:nvSpPr>
        <xdr:cNvPr id="2128" name="Line 6">
          <a:extLst>
            <a:ext uri="{FF2B5EF4-FFF2-40B4-BE49-F238E27FC236}">
              <a16:creationId xmlns:a16="http://schemas.microsoft.com/office/drawing/2014/main" id="{00000000-0008-0000-0100-000050080000}"/>
            </a:ext>
          </a:extLst>
        </xdr:cNvPr>
        <xdr:cNvSpPr>
          <a:spLocks noChangeShapeType="1"/>
        </xdr:cNvSpPr>
      </xdr:nvSpPr>
      <xdr:spPr bwMode="auto">
        <a:xfrm>
          <a:off x="1518557" y="4044043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288471</xdr:colOff>
      <xdr:row>9</xdr:row>
      <xdr:rowOff>65314</xdr:rowOff>
    </xdr:from>
    <xdr:to>
      <xdr:col>14</xdr:col>
      <xdr:colOff>119743</xdr:colOff>
      <xdr:row>16</xdr:row>
      <xdr:rowOff>0</xdr:rowOff>
    </xdr:to>
    <xdr:sp macro="" textlink="">
      <xdr:nvSpPr>
        <xdr:cNvPr id="2129" name="Rectangle 31">
          <a:extLst>
            <a:ext uri="{FF2B5EF4-FFF2-40B4-BE49-F238E27FC236}">
              <a16:creationId xmlns:a16="http://schemas.microsoft.com/office/drawing/2014/main" id="{00000000-0008-0000-0100-000051080000}"/>
            </a:ext>
          </a:extLst>
        </xdr:cNvPr>
        <xdr:cNvSpPr>
          <a:spLocks noChangeArrowheads="1"/>
        </xdr:cNvSpPr>
      </xdr:nvSpPr>
      <xdr:spPr bwMode="auto">
        <a:xfrm>
          <a:off x="3450771" y="1578429"/>
          <a:ext cx="794658" cy="10395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11</xdr:col>
      <xdr:colOff>163286</xdr:colOff>
      <xdr:row>16</xdr:row>
      <xdr:rowOff>10886</xdr:rowOff>
    </xdr:from>
    <xdr:to>
      <xdr:col>14</xdr:col>
      <xdr:colOff>228600</xdr:colOff>
      <xdr:row>17</xdr:row>
      <xdr:rowOff>54429</xdr:rowOff>
    </xdr:to>
    <xdr:sp macro="" textlink="">
      <xdr:nvSpPr>
        <xdr:cNvPr id="2130" name="Rectangle 32">
          <a:extLst>
            <a:ext uri="{FF2B5EF4-FFF2-40B4-BE49-F238E27FC236}">
              <a16:creationId xmlns:a16="http://schemas.microsoft.com/office/drawing/2014/main" id="{00000000-0008-0000-0100-000052080000}"/>
            </a:ext>
          </a:extLst>
        </xdr:cNvPr>
        <xdr:cNvSpPr>
          <a:spLocks noChangeArrowheads="1"/>
        </xdr:cNvSpPr>
      </xdr:nvSpPr>
      <xdr:spPr bwMode="auto">
        <a:xfrm>
          <a:off x="3325586" y="2628900"/>
          <a:ext cx="1028700" cy="20138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11</xdr:col>
      <xdr:colOff>97971</xdr:colOff>
      <xdr:row>17</xdr:row>
      <xdr:rowOff>54429</xdr:rowOff>
    </xdr:from>
    <xdr:to>
      <xdr:col>15</xdr:col>
      <xdr:colOff>0</xdr:colOff>
      <xdr:row>18</xdr:row>
      <xdr:rowOff>152400</xdr:rowOff>
    </xdr:to>
    <xdr:sp macro="" textlink="">
      <xdr:nvSpPr>
        <xdr:cNvPr id="2131" name="Rectangle 33">
          <a:extLst>
            <a:ext uri="{FF2B5EF4-FFF2-40B4-BE49-F238E27FC236}">
              <a16:creationId xmlns:a16="http://schemas.microsoft.com/office/drawing/2014/main" id="{00000000-0008-0000-0100-000053080000}"/>
            </a:ext>
          </a:extLst>
        </xdr:cNvPr>
        <xdr:cNvSpPr>
          <a:spLocks noChangeArrowheads="1"/>
        </xdr:cNvSpPr>
      </xdr:nvSpPr>
      <xdr:spPr bwMode="auto">
        <a:xfrm>
          <a:off x="3260271" y="2830286"/>
          <a:ext cx="1186543" cy="25581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14</xdr:col>
      <xdr:colOff>108857</xdr:colOff>
      <xdr:row>11</xdr:row>
      <xdr:rowOff>0</xdr:rowOff>
    </xdr:from>
    <xdr:to>
      <xdr:col>14</xdr:col>
      <xdr:colOff>108857</xdr:colOff>
      <xdr:row>19</xdr:row>
      <xdr:rowOff>146957</xdr:rowOff>
    </xdr:to>
    <xdr:sp macro="" textlink="">
      <xdr:nvSpPr>
        <xdr:cNvPr id="2132" name="Line 35">
          <a:extLst>
            <a:ext uri="{FF2B5EF4-FFF2-40B4-BE49-F238E27FC236}">
              <a16:creationId xmlns:a16="http://schemas.microsoft.com/office/drawing/2014/main" id="{00000000-0008-0000-0100-000054080000}"/>
            </a:ext>
          </a:extLst>
        </xdr:cNvPr>
        <xdr:cNvSpPr>
          <a:spLocks noChangeShapeType="1"/>
        </xdr:cNvSpPr>
      </xdr:nvSpPr>
      <xdr:spPr bwMode="auto">
        <a:xfrm>
          <a:off x="4234543" y="1828800"/>
          <a:ext cx="0" cy="1415143"/>
        </a:xfrm>
        <a:prstGeom prst="line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299357</xdr:colOff>
      <xdr:row>11</xdr:row>
      <xdr:rowOff>0</xdr:rowOff>
    </xdr:from>
    <xdr:to>
      <xdr:col>11</xdr:col>
      <xdr:colOff>310243</xdr:colOff>
      <xdr:row>19</xdr:row>
      <xdr:rowOff>130629</xdr:rowOff>
    </xdr:to>
    <xdr:sp macro="" textlink="">
      <xdr:nvSpPr>
        <xdr:cNvPr id="2133" name="Line 36">
          <a:extLst>
            <a:ext uri="{FF2B5EF4-FFF2-40B4-BE49-F238E27FC236}">
              <a16:creationId xmlns:a16="http://schemas.microsoft.com/office/drawing/2014/main" id="{00000000-0008-0000-0100-000055080000}"/>
            </a:ext>
          </a:extLst>
        </xdr:cNvPr>
        <xdr:cNvSpPr>
          <a:spLocks noChangeShapeType="1"/>
        </xdr:cNvSpPr>
      </xdr:nvSpPr>
      <xdr:spPr bwMode="auto">
        <a:xfrm>
          <a:off x="3461657" y="1828800"/>
          <a:ext cx="10886" cy="1398814"/>
        </a:xfrm>
        <a:prstGeom prst="line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59871</xdr:colOff>
      <xdr:row>12</xdr:row>
      <xdr:rowOff>76200</xdr:rowOff>
    </xdr:from>
    <xdr:to>
      <xdr:col>5</xdr:col>
      <xdr:colOff>0</xdr:colOff>
      <xdr:row>12</xdr:row>
      <xdr:rowOff>103414</xdr:rowOff>
    </xdr:to>
    <xdr:sp macro="" textlink="">
      <xdr:nvSpPr>
        <xdr:cNvPr id="2134" name="Line 40">
          <a:extLst>
            <a:ext uri="{FF2B5EF4-FFF2-40B4-BE49-F238E27FC236}">
              <a16:creationId xmlns:a16="http://schemas.microsoft.com/office/drawing/2014/main" id="{00000000-0008-0000-0100-000056080000}"/>
            </a:ext>
          </a:extLst>
        </xdr:cNvPr>
        <xdr:cNvSpPr>
          <a:spLocks noChangeShapeType="1"/>
        </xdr:cNvSpPr>
      </xdr:nvSpPr>
      <xdr:spPr bwMode="auto">
        <a:xfrm flipH="1">
          <a:off x="1094014" y="2062843"/>
          <a:ext cx="261257" cy="2721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179614</xdr:colOff>
      <xdr:row>16</xdr:row>
      <xdr:rowOff>10886</xdr:rowOff>
    </xdr:from>
    <xdr:to>
      <xdr:col>4</xdr:col>
      <xdr:colOff>163286</xdr:colOff>
      <xdr:row>17</xdr:row>
      <xdr:rowOff>65314</xdr:rowOff>
    </xdr:to>
    <xdr:sp macro="" textlink="">
      <xdr:nvSpPr>
        <xdr:cNvPr id="2135" name="Rectangle 45">
          <a:extLst>
            <a:ext uri="{FF2B5EF4-FFF2-40B4-BE49-F238E27FC236}">
              <a16:creationId xmlns:a16="http://schemas.microsoft.com/office/drawing/2014/main" id="{00000000-0008-0000-0100-000057080000}"/>
            </a:ext>
          </a:extLst>
        </xdr:cNvPr>
        <xdr:cNvSpPr>
          <a:spLocks noChangeArrowheads="1"/>
        </xdr:cNvSpPr>
      </xdr:nvSpPr>
      <xdr:spPr bwMode="auto">
        <a:xfrm>
          <a:off x="892629" y="2628900"/>
          <a:ext cx="304800" cy="21227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0</xdr:col>
      <xdr:colOff>70757</xdr:colOff>
      <xdr:row>17</xdr:row>
      <xdr:rowOff>76200</xdr:rowOff>
    </xdr:from>
    <xdr:to>
      <xdr:col>4</xdr:col>
      <xdr:colOff>163286</xdr:colOff>
      <xdr:row>18</xdr:row>
      <xdr:rowOff>152400</xdr:rowOff>
    </xdr:to>
    <xdr:sp macro="" textlink="">
      <xdr:nvSpPr>
        <xdr:cNvPr id="2136" name="Rectangle 46">
          <a:extLst>
            <a:ext uri="{FF2B5EF4-FFF2-40B4-BE49-F238E27FC236}">
              <a16:creationId xmlns:a16="http://schemas.microsoft.com/office/drawing/2014/main" id="{00000000-0008-0000-0100-000058080000}"/>
            </a:ext>
          </a:extLst>
        </xdr:cNvPr>
        <xdr:cNvSpPr>
          <a:spLocks noChangeArrowheads="1"/>
        </xdr:cNvSpPr>
      </xdr:nvSpPr>
      <xdr:spPr bwMode="auto">
        <a:xfrm>
          <a:off x="70757" y="2852057"/>
          <a:ext cx="1126672" cy="23404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4</xdr:col>
      <xdr:colOff>32657</xdr:colOff>
      <xdr:row>16</xdr:row>
      <xdr:rowOff>81643</xdr:rowOff>
    </xdr:from>
    <xdr:to>
      <xdr:col>4</xdr:col>
      <xdr:colOff>261257</xdr:colOff>
      <xdr:row>16</xdr:row>
      <xdr:rowOff>97971</xdr:rowOff>
    </xdr:to>
    <xdr:sp macro="" textlink="">
      <xdr:nvSpPr>
        <xdr:cNvPr id="2137" name="Line 47">
          <a:extLst>
            <a:ext uri="{FF2B5EF4-FFF2-40B4-BE49-F238E27FC236}">
              <a16:creationId xmlns:a16="http://schemas.microsoft.com/office/drawing/2014/main" id="{00000000-0008-0000-0100-000059080000}"/>
            </a:ext>
          </a:extLst>
        </xdr:cNvPr>
        <xdr:cNvSpPr>
          <a:spLocks noChangeShapeType="1"/>
        </xdr:cNvSpPr>
      </xdr:nvSpPr>
      <xdr:spPr bwMode="auto">
        <a:xfrm flipH="1">
          <a:off x="1066800" y="2699657"/>
          <a:ext cx="228600" cy="1632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81643</xdr:colOff>
      <xdr:row>18</xdr:row>
      <xdr:rowOff>81643</xdr:rowOff>
    </xdr:from>
    <xdr:to>
      <xdr:col>5</xdr:col>
      <xdr:colOff>21771</xdr:colOff>
      <xdr:row>18</xdr:row>
      <xdr:rowOff>92529</xdr:rowOff>
    </xdr:to>
    <xdr:sp macro="" textlink="">
      <xdr:nvSpPr>
        <xdr:cNvPr id="2138" name="Line 48">
          <a:extLst>
            <a:ext uri="{FF2B5EF4-FFF2-40B4-BE49-F238E27FC236}">
              <a16:creationId xmlns:a16="http://schemas.microsoft.com/office/drawing/2014/main" id="{00000000-0008-0000-0100-00005A080000}"/>
            </a:ext>
          </a:extLst>
        </xdr:cNvPr>
        <xdr:cNvSpPr>
          <a:spLocks noChangeShapeType="1"/>
        </xdr:cNvSpPr>
      </xdr:nvSpPr>
      <xdr:spPr bwMode="auto">
        <a:xfrm flipH="1" flipV="1">
          <a:off x="1115786" y="3015343"/>
          <a:ext cx="261257" cy="1088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70757</xdr:colOff>
      <xdr:row>12</xdr:row>
      <xdr:rowOff>114300</xdr:rowOff>
    </xdr:from>
    <xdr:to>
      <xdr:col>12</xdr:col>
      <xdr:colOff>70757</xdr:colOff>
      <xdr:row>12</xdr:row>
      <xdr:rowOff>130629</xdr:rowOff>
    </xdr:to>
    <xdr:sp macro="" textlink="">
      <xdr:nvSpPr>
        <xdr:cNvPr id="2139" name="Line 49">
          <a:extLst>
            <a:ext uri="{FF2B5EF4-FFF2-40B4-BE49-F238E27FC236}">
              <a16:creationId xmlns:a16="http://schemas.microsoft.com/office/drawing/2014/main" id="{00000000-0008-0000-0100-00005B080000}"/>
            </a:ext>
          </a:extLst>
        </xdr:cNvPr>
        <xdr:cNvSpPr>
          <a:spLocks noChangeShapeType="1"/>
        </xdr:cNvSpPr>
      </xdr:nvSpPr>
      <xdr:spPr bwMode="auto">
        <a:xfrm>
          <a:off x="2068286" y="2100943"/>
          <a:ext cx="1485900" cy="1632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223157</xdr:colOff>
      <xdr:row>16</xdr:row>
      <xdr:rowOff>92529</xdr:rowOff>
    </xdr:from>
    <xdr:to>
      <xdr:col>12</xdr:col>
      <xdr:colOff>97971</xdr:colOff>
      <xdr:row>16</xdr:row>
      <xdr:rowOff>103414</xdr:rowOff>
    </xdr:to>
    <xdr:sp macro="" textlink="">
      <xdr:nvSpPr>
        <xdr:cNvPr id="2140" name="Line 50">
          <a:extLst>
            <a:ext uri="{FF2B5EF4-FFF2-40B4-BE49-F238E27FC236}">
              <a16:creationId xmlns:a16="http://schemas.microsoft.com/office/drawing/2014/main" id="{00000000-0008-0000-0100-00005C080000}"/>
            </a:ext>
          </a:extLst>
        </xdr:cNvPr>
        <xdr:cNvSpPr>
          <a:spLocks noChangeShapeType="1"/>
        </xdr:cNvSpPr>
      </xdr:nvSpPr>
      <xdr:spPr bwMode="auto">
        <a:xfrm>
          <a:off x="1899557" y="2710543"/>
          <a:ext cx="1681843" cy="1088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228600</xdr:colOff>
      <xdr:row>18</xdr:row>
      <xdr:rowOff>70757</xdr:rowOff>
    </xdr:from>
    <xdr:to>
      <xdr:col>11</xdr:col>
      <xdr:colOff>201386</xdr:colOff>
      <xdr:row>18</xdr:row>
      <xdr:rowOff>81643</xdr:rowOff>
    </xdr:to>
    <xdr:sp macro="" textlink="">
      <xdr:nvSpPr>
        <xdr:cNvPr id="2141" name="Line 51">
          <a:extLst>
            <a:ext uri="{FF2B5EF4-FFF2-40B4-BE49-F238E27FC236}">
              <a16:creationId xmlns:a16="http://schemas.microsoft.com/office/drawing/2014/main" id="{00000000-0008-0000-0100-00005D080000}"/>
            </a:ext>
          </a:extLst>
        </xdr:cNvPr>
        <xdr:cNvSpPr>
          <a:spLocks noChangeShapeType="1"/>
        </xdr:cNvSpPr>
      </xdr:nvSpPr>
      <xdr:spPr bwMode="auto">
        <a:xfrm>
          <a:off x="2226129" y="3004457"/>
          <a:ext cx="1137557" cy="1088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310243</xdr:colOff>
      <xdr:row>19</xdr:row>
      <xdr:rowOff>92529</xdr:rowOff>
    </xdr:from>
    <xdr:to>
      <xdr:col>14</xdr:col>
      <xdr:colOff>108857</xdr:colOff>
      <xdr:row>19</xdr:row>
      <xdr:rowOff>92529</xdr:rowOff>
    </xdr:to>
    <xdr:sp macro="" textlink="">
      <xdr:nvSpPr>
        <xdr:cNvPr id="2142" name="Line 52">
          <a:extLst>
            <a:ext uri="{FF2B5EF4-FFF2-40B4-BE49-F238E27FC236}">
              <a16:creationId xmlns:a16="http://schemas.microsoft.com/office/drawing/2014/main" id="{00000000-0008-0000-0100-00005E080000}"/>
            </a:ext>
          </a:extLst>
        </xdr:cNvPr>
        <xdr:cNvSpPr>
          <a:spLocks noChangeShapeType="1"/>
        </xdr:cNvSpPr>
      </xdr:nvSpPr>
      <xdr:spPr bwMode="auto">
        <a:xfrm>
          <a:off x="3472543" y="3189514"/>
          <a:ext cx="762000" cy="0"/>
        </a:xfrm>
        <a:prstGeom prst="line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triangle" w="sm" len="sm"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272143</xdr:colOff>
      <xdr:row>132</xdr:row>
      <xdr:rowOff>0</xdr:rowOff>
    </xdr:from>
    <xdr:to>
      <xdr:col>5</xdr:col>
      <xdr:colOff>321129</xdr:colOff>
      <xdr:row>132</xdr:row>
      <xdr:rowOff>0</xdr:rowOff>
    </xdr:to>
    <xdr:sp macro="" textlink="">
      <xdr:nvSpPr>
        <xdr:cNvPr id="2143" name="Line 66">
          <a:extLst>
            <a:ext uri="{FF2B5EF4-FFF2-40B4-BE49-F238E27FC236}">
              <a16:creationId xmlns:a16="http://schemas.microsoft.com/office/drawing/2014/main" id="{00000000-0008-0000-0100-00005F080000}"/>
            </a:ext>
          </a:extLst>
        </xdr:cNvPr>
        <xdr:cNvSpPr>
          <a:spLocks noChangeShapeType="1"/>
        </xdr:cNvSpPr>
      </xdr:nvSpPr>
      <xdr:spPr bwMode="auto">
        <a:xfrm>
          <a:off x="1306286" y="21025757"/>
          <a:ext cx="370114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triangle" w="sm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299357</xdr:colOff>
      <xdr:row>137</xdr:row>
      <xdr:rowOff>130629</xdr:rowOff>
    </xdr:from>
    <xdr:to>
      <xdr:col>7</xdr:col>
      <xdr:colOff>38100</xdr:colOff>
      <xdr:row>138</xdr:row>
      <xdr:rowOff>27214</xdr:rowOff>
    </xdr:to>
    <xdr:sp macro="" textlink="">
      <xdr:nvSpPr>
        <xdr:cNvPr id="2144" name="Oval 67">
          <a:extLst>
            <a:ext uri="{FF2B5EF4-FFF2-40B4-BE49-F238E27FC236}">
              <a16:creationId xmlns:a16="http://schemas.microsoft.com/office/drawing/2014/main" id="{00000000-0008-0000-0100-000060080000}"/>
            </a:ext>
          </a:extLst>
        </xdr:cNvPr>
        <xdr:cNvSpPr>
          <a:spLocks noChangeArrowheads="1"/>
        </xdr:cNvSpPr>
      </xdr:nvSpPr>
      <xdr:spPr bwMode="auto">
        <a:xfrm>
          <a:off x="1975757" y="21967371"/>
          <a:ext cx="59872" cy="6531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168729</xdr:colOff>
      <xdr:row>137</xdr:row>
      <xdr:rowOff>152400</xdr:rowOff>
    </xdr:from>
    <xdr:to>
      <xdr:col>6</xdr:col>
      <xdr:colOff>168729</xdr:colOff>
      <xdr:row>138</xdr:row>
      <xdr:rowOff>48986</xdr:rowOff>
    </xdr:to>
    <xdr:sp macro="" textlink="">
      <xdr:nvSpPr>
        <xdr:cNvPr id="2145" name="Line 68">
          <a:extLst>
            <a:ext uri="{FF2B5EF4-FFF2-40B4-BE49-F238E27FC236}">
              <a16:creationId xmlns:a16="http://schemas.microsoft.com/office/drawing/2014/main" id="{00000000-0008-0000-0100-000061080000}"/>
            </a:ext>
          </a:extLst>
        </xdr:cNvPr>
        <xdr:cNvSpPr>
          <a:spLocks noChangeShapeType="1"/>
        </xdr:cNvSpPr>
      </xdr:nvSpPr>
      <xdr:spPr bwMode="auto">
        <a:xfrm>
          <a:off x="1845129" y="21989143"/>
          <a:ext cx="0" cy="6531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250371</xdr:colOff>
      <xdr:row>142</xdr:row>
      <xdr:rowOff>10886</xdr:rowOff>
    </xdr:from>
    <xdr:to>
      <xdr:col>5</xdr:col>
      <xdr:colOff>299357</xdr:colOff>
      <xdr:row>142</xdr:row>
      <xdr:rowOff>10886</xdr:rowOff>
    </xdr:to>
    <xdr:sp macro="" textlink="">
      <xdr:nvSpPr>
        <xdr:cNvPr id="2146" name="Line 69">
          <a:extLst>
            <a:ext uri="{FF2B5EF4-FFF2-40B4-BE49-F238E27FC236}">
              <a16:creationId xmlns:a16="http://schemas.microsoft.com/office/drawing/2014/main" id="{00000000-0008-0000-0100-000062080000}"/>
            </a:ext>
          </a:extLst>
        </xdr:cNvPr>
        <xdr:cNvSpPr>
          <a:spLocks noChangeShapeType="1"/>
        </xdr:cNvSpPr>
      </xdr:nvSpPr>
      <xdr:spPr bwMode="auto">
        <a:xfrm>
          <a:off x="1284514" y="22664057"/>
          <a:ext cx="37011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triangle" w="sm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261257</xdr:colOff>
      <xdr:row>150</xdr:row>
      <xdr:rowOff>130629</xdr:rowOff>
    </xdr:from>
    <xdr:to>
      <xdr:col>7</xdr:col>
      <xdr:colOff>32657</xdr:colOff>
      <xdr:row>151</xdr:row>
      <xdr:rowOff>38100</xdr:rowOff>
    </xdr:to>
    <xdr:sp macro="" textlink="">
      <xdr:nvSpPr>
        <xdr:cNvPr id="2147" name="Oval 70">
          <a:extLst>
            <a:ext uri="{FF2B5EF4-FFF2-40B4-BE49-F238E27FC236}">
              <a16:creationId xmlns:a16="http://schemas.microsoft.com/office/drawing/2014/main" id="{00000000-0008-0000-0100-000063080000}"/>
            </a:ext>
          </a:extLst>
        </xdr:cNvPr>
        <xdr:cNvSpPr>
          <a:spLocks noChangeArrowheads="1"/>
        </xdr:cNvSpPr>
      </xdr:nvSpPr>
      <xdr:spPr bwMode="auto">
        <a:xfrm>
          <a:off x="1937657" y="24079200"/>
          <a:ext cx="92529" cy="762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163286</xdr:colOff>
      <xdr:row>150</xdr:row>
      <xdr:rowOff>87086</xdr:rowOff>
    </xdr:from>
    <xdr:to>
      <xdr:col>5</xdr:col>
      <xdr:colOff>163286</xdr:colOff>
      <xdr:row>151</xdr:row>
      <xdr:rowOff>27214</xdr:rowOff>
    </xdr:to>
    <xdr:sp macro="" textlink="">
      <xdr:nvSpPr>
        <xdr:cNvPr id="2148" name="Line 71">
          <a:extLst>
            <a:ext uri="{FF2B5EF4-FFF2-40B4-BE49-F238E27FC236}">
              <a16:creationId xmlns:a16="http://schemas.microsoft.com/office/drawing/2014/main" id="{00000000-0008-0000-0100-000064080000}"/>
            </a:ext>
          </a:extLst>
        </xdr:cNvPr>
        <xdr:cNvSpPr>
          <a:spLocks noChangeShapeType="1"/>
        </xdr:cNvSpPr>
      </xdr:nvSpPr>
      <xdr:spPr bwMode="auto">
        <a:xfrm>
          <a:off x="1518557" y="24035657"/>
          <a:ext cx="0" cy="10885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152400</xdr:colOff>
      <xdr:row>145</xdr:row>
      <xdr:rowOff>92529</xdr:rowOff>
    </xdr:from>
    <xdr:to>
      <xdr:col>7</xdr:col>
      <xdr:colOff>272143</xdr:colOff>
      <xdr:row>146</xdr:row>
      <xdr:rowOff>0</xdr:rowOff>
    </xdr:to>
    <xdr:sp macro="" textlink="">
      <xdr:nvSpPr>
        <xdr:cNvPr id="2149" name="Line 72">
          <a:extLst>
            <a:ext uri="{FF2B5EF4-FFF2-40B4-BE49-F238E27FC236}">
              <a16:creationId xmlns:a16="http://schemas.microsoft.com/office/drawing/2014/main" id="{00000000-0008-0000-0100-000065080000}"/>
            </a:ext>
          </a:extLst>
        </xdr:cNvPr>
        <xdr:cNvSpPr>
          <a:spLocks noChangeShapeType="1"/>
        </xdr:cNvSpPr>
      </xdr:nvSpPr>
      <xdr:spPr bwMode="auto">
        <a:xfrm flipH="1">
          <a:off x="1828800" y="23235557"/>
          <a:ext cx="440871" cy="6531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212271</xdr:colOff>
      <xdr:row>146</xdr:row>
      <xdr:rowOff>92529</xdr:rowOff>
    </xdr:from>
    <xdr:to>
      <xdr:col>8</xdr:col>
      <xdr:colOff>0</xdr:colOff>
      <xdr:row>149</xdr:row>
      <xdr:rowOff>48986</xdr:rowOff>
    </xdr:to>
    <xdr:sp macro="" textlink="">
      <xdr:nvSpPr>
        <xdr:cNvPr id="2150" name="Line 73">
          <a:extLst>
            <a:ext uri="{FF2B5EF4-FFF2-40B4-BE49-F238E27FC236}">
              <a16:creationId xmlns:a16="http://schemas.microsoft.com/office/drawing/2014/main" id="{00000000-0008-0000-0100-000066080000}"/>
            </a:ext>
          </a:extLst>
        </xdr:cNvPr>
        <xdr:cNvSpPr>
          <a:spLocks noChangeShapeType="1"/>
        </xdr:cNvSpPr>
      </xdr:nvSpPr>
      <xdr:spPr bwMode="auto">
        <a:xfrm flipH="1">
          <a:off x="1888671" y="23393400"/>
          <a:ext cx="429986" cy="44087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190500</xdr:colOff>
      <xdr:row>135</xdr:row>
      <xdr:rowOff>114300</xdr:rowOff>
    </xdr:from>
    <xdr:to>
      <xdr:col>7</xdr:col>
      <xdr:colOff>288471</xdr:colOff>
      <xdr:row>135</xdr:row>
      <xdr:rowOff>114300</xdr:rowOff>
    </xdr:to>
    <xdr:sp macro="" textlink="">
      <xdr:nvSpPr>
        <xdr:cNvPr id="2151" name="Line 74">
          <a:extLst>
            <a:ext uri="{FF2B5EF4-FFF2-40B4-BE49-F238E27FC236}">
              <a16:creationId xmlns:a16="http://schemas.microsoft.com/office/drawing/2014/main" id="{00000000-0008-0000-0100-000067080000}"/>
            </a:ext>
          </a:extLst>
        </xdr:cNvPr>
        <xdr:cNvSpPr>
          <a:spLocks noChangeShapeType="1"/>
        </xdr:cNvSpPr>
      </xdr:nvSpPr>
      <xdr:spPr bwMode="auto">
        <a:xfrm flipH="1">
          <a:off x="1866900" y="21629914"/>
          <a:ext cx="419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48986</xdr:colOff>
      <xdr:row>76</xdr:row>
      <xdr:rowOff>65314</xdr:rowOff>
    </xdr:from>
    <xdr:to>
      <xdr:col>0</xdr:col>
      <xdr:colOff>119743</xdr:colOff>
      <xdr:row>76</xdr:row>
      <xdr:rowOff>130629</xdr:rowOff>
    </xdr:to>
    <xdr:sp macro="" textlink="">
      <xdr:nvSpPr>
        <xdr:cNvPr id="2152" name="Oval 75">
          <a:extLst>
            <a:ext uri="{FF2B5EF4-FFF2-40B4-BE49-F238E27FC236}">
              <a16:creationId xmlns:a16="http://schemas.microsoft.com/office/drawing/2014/main" id="{00000000-0008-0000-0100-000068080000}"/>
            </a:ext>
          </a:extLst>
        </xdr:cNvPr>
        <xdr:cNvSpPr>
          <a:spLocks noChangeArrowheads="1"/>
        </xdr:cNvSpPr>
      </xdr:nvSpPr>
      <xdr:spPr bwMode="auto">
        <a:xfrm>
          <a:off x="48986" y="12240986"/>
          <a:ext cx="70757" cy="6531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0</xdr:col>
      <xdr:colOff>32657</xdr:colOff>
      <xdr:row>69</xdr:row>
      <xdr:rowOff>65314</xdr:rowOff>
    </xdr:from>
    <xdr:to>
      <xdr:col>0</xdr:col>
      <xdr:colOff>103414</xdr:colOff>
      <xdr:row>69</xdr:row>
      <xdr:rowOff>130629</xdr:rowOff>
    </xdr:to>
    <xdr:sp macro="" textlink="">
      <xdr:nvSpPr>
        <xdr:cNvPr id="2153" name="Oval 76">
          <a:extLst>
            <a:ext uri="{FF2B5EF4-FFF2-40B4-BE49-F238E27FC236}">
              <a16:creationId xmlns:a16="http://schemas.microsoft.com/office/drawing/2014/main" id="{00000000-0008-0000-0100-000069080000}"/>
            </a:ext>
          </a:extLst>
        </xdr:cNvPr>
        <xdr:cNvSpPr>
          <a:spLocks noChangeArrowheads="1"/>
        </xdr:cNvSpPr>
      </xdr:nvSpPr>
      <xdr:spPr bwMode="auto">
        <a:xfrm>
          <a:off x="32657" y="11136086"/>
          <a:ext cx="70757" cy="6531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0</xdr:col>
      <xdr:colOff>38100</xdr:colOff>
      <xdr:row>72</xdr:row>
      <xdr:rowOff>54429</xdr:rowOff>
    </xdr:from>
    <xdr:to>
      <xdr:col>0</xdr:col>
      <xdr:colOff>108857</xdr:colOff>
      <xdr:row>72</xdr:row>
      <xdr:rowOff>119743</xdr:rowOff>
    </xdr:to>
    <xdr:sp macro="" textlink="">
      <xdr:nvSpPr>
        <xdr:cNvPr id="2154" name="Oval 77">
          <a:extLst>
            <a:ext uri="{FF2B5EF4-FFF2-40B4-BE49-F238E27FC236}">
              <a16:creationId xmlns:a16="http://schemas.microsoft.com/office/drawing/2014/main" id="{00000000-0008-0000-0100-00006A080000}"/>
            </a:ext>
          </a:extLst>
        </xdr:cNvPr>
        <xdr:cNvSpPr>
          <a:spLocks noChangeArrowheads="1"/>
        </xdr:cNvSpPr>
      </xdr:nvSpPr>
      <xdr:spPr bwMode="auto">
        <a:xfrm>
          <a:off x="38100" y="11598729"/>
          <a:ext cx="70757" cy="6531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120651</xdr:rowOff>
    </xdr:from>
    <xdr:to>
      <xdr:col>2</xdr:col>
      <xdr:colOff>753338</xdr:colOff>
      <xdr:row>67</xdr:row>
      <xdr:rowOff>63501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E9EA3FA-4C85-4EAC-90B5-F186508A5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6701"/>
          <a:ext cx="5903188" cy="613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</xdr:colOff>
      <xdr:row>67</xdr:row>
      <xdr:rowOff>139700</xdr:rowOff>
    </xdr:from>
    <xdr:to>
      <xdr:col>2</xdr:col>
      <xdr:colOff>720526</xdr:colOff>
      <xdr:row>114</xdr:row>
      <xdr:rowOff>101600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D85AEC4-3E2B-4190-BDDC-3BDCC7167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11557000"/>
          <a:ext cx="5838626" cy="7423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116</xdr:row>
      <xdr:rowOff>12700</xdr:rowOff>
    </xdr:from>
    <xdr:to>
      <xdr:col>2</xdr:col>
      <xdr:colOff>759381</xdr:colOff>
      <xdr:row>163</xdr:row>
      <xdr:rowOff>57150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595A7022-FAFF-461F-A179-7EB76E6CA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08750"/>
          <a:ext cx="5909231" cy="7505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</xdr:colOff>
      <xdr:row>164</xdr:row>
      <xdr:rowOff>114300</xdr:rowOff>
    </xdr:from>
    <xdr:to>
      <xdr:col>2</xdr:col>
      <xdr:colOff>758425</xdr:colOff>
      <xdr:row>211</xdr:row>
      <xdr:rowOff>146050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D76AFA0D-88A5-4061-921A-CACD719DF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6930350"/>
          <a:ext cx="5908274" cy="749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213</xdr:row>
      <xdr:rowOff>107950</xdr:rowOff>
    </xdr:from>
    <xdr:to>
      <xdr:col>2</xdr:col>
      <xdr:colOff>744588</xdr:colOff>
      <xdr:row>260</xdr:row>
      <xdr:rowOff>152400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BCE063C6-FA0B-41A3-9DBE-5956A15AE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702750"/>
          <a:ext cx="5894438" cy="7505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262</xdr:row>
      <xdr:rowOff>25400</xdr:rowOff>
    </xdr:from>
    <xdr:to>
      <xdr:col>2</xdr:col>
      <xdr:colOff>724641</xdr:colOff>
      <xdr:row>309</xdr:row>
      <xdr:rowOff>44450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B5CCBCC5-A325-453D-8131-2A6A05DE5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98950"/>
          <a:ext cx="5874491" cy="7480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310</xdr:row>
      <xdr:rowOff>31750</xdr:rowOff>
    </xdr:from>
    <xdr:to>
      <xdr:col>2</xdr:col>
      <xdr:colOff>754723</xdr:colOff>
      <xdr:row>348</xdr:row>
      <xdr:rowOff>133350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92EC5B23-8AFA-4B9A-8F3B-221D77E81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025300"/>
          <a:ext cx="5904573" cy="613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73"/>
  <sheetViews>
    <sheetView tabSelected="1" zoomScaleNormal="100" workbookViewId="0">
      <selection activeCell="D21" sqref="D21"/>
    </sheetView>
  </sheetViews>
  <sheetFormatPr baseColWidth="10" defaultRowHeight="12.5" x14ac:dyDescent="0.25"/>
  <cols>
    <col min="1" max="6" width="4.7265625" customWidth="1"/>
    <col min="7" max="7" width="3.54296875" customWidth="1"/>
    <col min="8" max="8" width="3.7265625" customWidth="1"/>
    <col min="9" max="9" width="6" customWidth="1"/>
    <col min="10" max="10" width="4.7265625" customWidth="1"/>
    <col min="11" max="11" width="3.453125" customWidth="1"/>
    <col min="12" max="19" width="4.7265625" customWidth="1"/>
    <col min="20" max="20" width="4.81640625" customWidth="1"/>
    <col min="21" max="21" width="2.453125" customWidth="1"/>
    <col min="22" max="57" width="4.7265625" customWidth="1"/>
  </cols>
  <sheetData>
    <row r="1" spans="1:30" ht="13" x14ac:dyDescent="0.3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 t="s">
        <v>280</v>
      </c>
      <c r="R1" s="7"/>
      <c r="S1" s="8"/>
      <c r="T1" s="9"/>
      <c r="U1" s="10"/>
    </row>
    <row r="2" spans="1:30" ht="20" x14ac:dyDescent="0.4">
      <c r="A2" s="11"/>
      <c r="B2" s="12" t="s">
        <v>0</v>
      </c>
      <c r="C2" s="13"/>
      <c r="D2" s="14"/>
      <c r="E2" s="14"/>
      <c r="F2" s="15"/>
      <c r="G2" s="15"/>
      <c r="H2" s="16"/>
      <c r="I2" s="16"/>
      <c r="J2" s="16"/>
      <c r="K2" s="16"/>
      <c r="L2" s="16"/>
      <c r="M2" s="16"/>
      <c r="N2" s="16"/>
      <c r="O2" s="17"/>
      <c r="P2" s="18"/>
      <c r="Q2" s="19">
        <v>42535</v>
      </c>
      <c r="R2" s="20"/>
      <c r="S2" s="21"/>
      <c r="T2" s="22"/>
      <c r="U2" s="10"/>
      <c r="V2" s="424"/>
      <c r="AC2" s="426"/>
      <c r="AD2" s="427"/>
    </row>
    <row r="3" spans="1:30" ht="13" x14ac:dyDescent="0.3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5"/>
      <c r="Q3" s="26" t="s">
        <v>171</v>
      </c>
      <c r="R3" s="27"/>
      <c r="S3" s="28"/>
      <c r="T3" s="29"/>
      <c r="U3" s="10"/>
      <c r="V3" s="425"/>
    </row>
    <row r="4" spans="1:30" ht="13" x14ac:dyDescent="0.3">
      <c r="A4" s="30"/>
      <c r="B4" s="31" t="s">
        <v>2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3" t="s">
        <v>3</v>
      </c>
      <c r="R4" s="34"/>
      <c r="S4" s="35"/>
      <c r="T4" s="36"/>
      <c r="U4" s="10"/>
      <c r="V4" s="425"/>
    </row>
    <row r="5" spans="1:30" ht="13" x14ac:dyDescent="0.3">
      <c r="A5" s="30"/>
      <c r="B5" s="31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19" t="s">
        <v>4</v>
      </c>
      <c r="R5" s="37"/>
      <c r="S5" s="38"/>
      <c r="T5" s="39"/>
      <c r="U5" s="10"/>
      <c r="V5" s="425"/>
    </row>
    <row r="6" spans="1:30" ht="13" x14ac:dyDescent="0.3">
      <c r="A6" s="30"/>
      <c r="B6" s="31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421"/>
      <c r="Q6" s="33" t="s">
        <v>218</v>
      </c>
      <c r="R6" s="34"/>
      <c r="S6" s="35"/>
      <c r="T6" s="36"/>
      <c r="U6" s="10"/>
      <c r="V6" s="424"/>
    </row>
    <row r="7" spans="1:30" ht="18.5" thickBot="1" x14ac:dyDescent="0.45">
      <c r="A7" s="41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42"/>
      <c r="N7" s="42"/>
      <c r="O7" s="42"/>
      <c r="P7" s="422"/>
      <c r="Q7" s="19" t="s">
        <v>236</v>
      </c>
      <c r="R7" s="37"/>
      <c r="S7" s="38"/>
      <c r="T7" s="39"/>
      <c r="U7" s="10"/>
      <c r="V7" s="424"/>
    </row>
    <row r="8" spans="1:30" ht="13" thickBot="1" x14ac:dyDescent="0.3">
      <c r="A8" s="30"/>
      <c r="B8" s="32"/>
      <c r="C8" s="32"/>
      <c r="D8" s="32"/>
      <c r="E8" s="32"/>
      <c r="F8" s="32"/>
      <c r="G8" s="32"/>
      <c r="H8" s="43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44"/>
      <c r="U8" s="10"/>
      <c r="V8" s="424"/>
    </row>
    <row r="9" spans="1:30" ht="16" thickBot="1" x14ac:dyDescent="0.4">
      <c r="A9" s="30"/>
      <c r="B9" s="32"/>
      <c r="C9" s="32"/>
      <c r="D9" s="32"/>
      <c r="E9" s="32"/>
      <c r="F9" s="32"/>
      <c r="G9" s="32"/>
      <c r="H9" s="45"/>
      <c r="I9" s="32"/>
      <c r="J9" s="32"/>
      <c r="K9" s="32"/>
      <c r="L9" s="32"/>
      <c r="M9" s="46" t="s">
        <v>43</v>
      </c>
      <c r="N9" s="47"/>
      <c r="O9" s="47"/>
      <c r="P9" s="47"/>
      <c r="Q9" s="47"/>
      <c r="R9" s="47"/>
      <c r="S9" s="47"/>
      <c r="T9" s="48"/>
      <c r="U9" s="10"/>
      <c r="V9" s="424"/>
    </row>
    <row r="10" spans="1:30" ht="15.5" x14ac:dyDescent="0.4">
      <c r="A10" s="30"/>
      <c r="B10" s="32" t="s">
        <v>5</v>
      </c>
      <c r="C10" s="32"/>
      <c r="D10" s="49">
        <v>125</v>
      </c>
      <c r="E10" s="50"/>
      <c r="F10" s="32"/>
      <c r="G10" s="32"/>
      <c r="H10" s="45"/>
      <c r="I10" s="32"/>
      <c r="J10" s="32"/>
      <c r="K10" s="32"/>
      <c r="L10" s="32"/>
      <c r="M10" s="51" t="s">
        <v>44</v>
      </c>
      <c r="N10" s="52"/>
      <c r="O10" s="53" t="s">
        <v>45</v>
      </c>
      <c r="P10" s="54"/>
      <c r="Q10" s="54"/>
      <c r="R10" s="54"/>
      <c r="S10" s="54"/>
      <c r="T10" s="44"/>
      <c r="U10" s="10"/>
      <c r="V10" s="424"/>
    </row>
    <row r="11" spans="1:30" x14ac:dyDescent="0.25">
      <c r="A11" s="30"/>
      <c r="B11" s="32"/>
      <c r="C11" s="32"/>
      <c r="D11" s="55"/>
      <c r="E11" s="56"/>
      <c r="F11" s="32"/>
      <c r="G11" s="32"/>
      <c r="H11" s="45"/>
      <c r="I11" s="32"/>
      <c r="J11" s="32"/>
      <c r="K11" s="32"/>
      <c r="L11" s="32"/>
      <c r="M11" s="51" t="s">
        <v>49</v>
      </c>
      <c r="N11" s="52"/>
      <c r="O11" s="53" t="s">
        <v>50</v>
      </c>
      <c r="P11" s="54"/>
      <c r="Q11" s="54"/>
      <c r="R11" s="54"/>
      <c r="S11" s="54"/>
      <c r="T11" s="44"/>
      <c r="U11" s="10"/>
      <c r="V11" s="424"/>
    </row>
    <row r="12" spans="1:30" ht="13" thickBot="1" x14ac:dyDescent="0.3">
      <c r="A12" s="30"/>
      <c r="B12" s="32"/>
      <c r="C12" s="32"/>
      <c r="D12" s="55"/>
      <c r="E12" s="32"/>
      <c r="F12" s="57"/>
      <c r="G12" s="32"/>
      <c r="H12" s="45"/>
      <c r="I12" s="32"/>
      <c r="J12" s="57"/>
      <c r="K12" s="32"/>
      <c r="L12" s="32"/>
      <c r="M12" s="58" t="s">
        <v>54</v>
      </c>
      <c r="N12" s="59"/>
      <c r="O12" s="60" t="s">
        <v>55</v>
      </c>
      <c r="P12" s="61"/>
      <c r="Q12" s="61"/>
      <c r="R12" s="61"/>
      <c r="S12" s="61"/>
      <c r="T12" s="62"/>
      <c r="U12" s="10"/>
      <c r="V12" s="424"/>
    </row>
    <row r="13" spans="1:30" ht="13" thickBot="1" x14ac:dyDescent="0.3">
      <c r="A13" s="63"/>
      <c r="B13" s="32"/>
      <c r="C13" s="32"/>
      <c r="D13" s="55"/>
      <c r="E13" s="56"/>
      <c r="F13" s="32"/>
      <c r="G13" s="32"/>
      <c r="H13" s="64"/>
      <c r="I13" s="65" t="s">
        <v>9</v>
      </c>
      <c r="J13" s="57"/>
      <c r="K13" s="32"/>
      <c r="L13" s="32"/>
      <c r="M13" s="66" t="str">
        <f>CONCATENATE('Programm Detail'!M$43," ",'Programm Detail'!$L$44," ",'Programm Detail'!M$44)</f>
        <v>1 f 12</v>
      </c>
      <c r="N13" s="67" t="str">
        <f>CONCATENATE('Programm Detail'!N$43," ",'Programm Detail'!$L$44," ",'Programm Detail'!N$44)</f>
        <v>1 f 14</v>
      </c>
      <c r="O13" s="67" t="str">
        <f>CONCATENATE('Programm Detail'!O$43," ",'Programm Detail'!$L$44," ",'Programm Detail'!O$44)</f>
        <v>1 f 16</v>
      </c>
      <c r="P13" s="67" t="str">
        <f>CONCATENATE('Programm Detail'!P$43," ",'Programm Detail'!$L$44," ",'Programm Detail'!P$44)</f>
        <v>1 f 20</v>
      </c>
      <c r="Q13" s="68" t="str">
        <f>CONCATENATE('Programm Detail'!Q$43," ",'Programm Detail'!$L$44," ",'Programm Detail'!Q$44)</f>
        <v>2 f 12</v>
      </c>
      <c r="R13" s="67" t="str">
        <f>CONCATENATE('Programm Detail'!R$43," ",'Programm Detail'!$L$44," ",'Programm Detail'!R$44)</f>
        <v>2 f 14</v>
      </c>
      <c r="S13" s="67" t="str">
        <f>CONCATENATE('Programm Detail'!S$43," ",'Programm Detail'!$L$44," ",'Programm Detail'!S$44)</f>
        <v>2 f 16</v>
      </c>
      <c r="T13" s="69" t="str">
        <f>CONCATENATE('Programm Detail'!T$43," ",'Programm Detail'!$L$44," ",'Programm Detail'!T$44)</f>
        <v>2 f 20</v>
      </c>
      <c r="U13" s="10"/>
      <c r="V13" s="425"/>
    </row>
    <row r="14" spans="1:30" ht="13" thickBot="1" x14ac:dyDescent="0.3">
      <c r="A14" s="63"/>
      <c r="B14" s="32"/>
      <c r="C14" s="32"/>
      <c r="D14" s="55"/>
      <c r="E14" s="56"/>
      <c r="F14" s="32"/>
      <c r="G14" s="70"/>
      <c r="H14" s="71"/>
      <c r="I14" s="32"/>
      <c r="J14" s="57"/>
      <c r="K14" s="32"/>
      <c r="L14" s="32"/>
      <c r="M14" s="72" t="str">
        <f>IF($E50&lt;0,"-",IF($E50/R19/1/12&lt;24,IF($E50/R19/1/12&gt;6,10*ROUNDUP(2*$E50/R19/1/12+0.5,0),125),"N"))</f>
        <v>N</v>
      </c>
      <c r="N14" s="73" t="str">
        <f>IF($E50&lt;0,"-",IF($E50/R19/1/14&lt;24,IF($E50/R19/1/14&gt;6,10*ROUNDUP(2*$E50/R19/1/14+0.5,0),125),"N"))</f>
        <v>N</v>
      </c>
      <c r="O14" s="73">
        <f>IF($E50&lt;0,"-",IF($E50/R19/1/16&lt;24,IF($E50/R19/1/16&gt;6,10*ROUNDUP(2*$E50/R19/1/16+0.5,0),125),"N"))</f>
        <v>470</v>
      </c>
      <c r="P14" s="73">
        <f>IF($E50&lt;0,"-",IF($E50/R19/1/20&lt;24,IF($E50/R19/1/20&gt;6,10*ROUNDUP(2*$E50/R19/1/20+0.5,0),125),"N"))</f>
        <v>370</v>
      </c>
      <c r="Q14" s="74">
        <f>IF($E50&lt;0,"-",IF($E50/R19/2/12&lt;24,IF($E50/R19/2/12&gt;6,10*ROUNDUP(2*$E50/R19/2/12+0.5,0),125),"N"))</f>
        <v>310</v>
      </c>
      <c r="R14" s="73">
        <f>IF($E50&lt;0,"-",IF($E50/R19/2/14&lt;24,IF($E50/R19/2/14&gt;6,10*ROUNDUP(2*$E50/R19/2/14+0.5,0),125),"N"))</f>
        <v>270</v>
      </c>
      <c r="S14" s="73">
        <f>IF($E50&lt;0,"-",IF($E50/R19/2/16&lt;24,IF($E50/R19/2/16&gt;6,10*ROUNDUP(2*$E50/R19/2/16+0.5,0),125),"N"))</f>
        <v>240</v>
      </c>
      <c r="T14" s="75">
        <f>IF($E50&lt;0,"-",IF($E50/R19/2/20&lt;24,IF($E50/R19/2/20&gt;6,10*ROUNDUP(2*$E50/R19/2/20+0.5,0),125),"N"))</f>
        <v>190</v>
      </c>
      <c r="U14" s="10"/>
      <c r="V14" s="425"/>
      <c r="AA14" s="423"/>
      <c r="AB14" s="423"/>
    </row>
    <row r="15" spans="1:30" ht="16.5" thickBot="1" x14ac:dyDescent="0.45">
      <c r="A15" s="63"/>
      <c r="B15" s="32" t="s">
        <v>11</v>
      </c>
      <c r="C15" s="32"/>
      <c r="D15" s="49">
        <v>25</v>
      </c>
      <c r="E15" s="50"/>
      <c r="F15" s="32"/>
      <c r="G15" s="76"/>
      <c r="H15" s="77"/>
      <c r="I15" s="32"/>
      <c r="J15" s="57"/>
      <c r="K15" s="32"/>
      <c r="L15" s="32"/>
      <c r="M15" s="46" t="s">
        <v>59</v>
      </c>
      <c r="N15" s="47"/>
      <c r="O15" s="47"/>
      <c r="P15" s="47"/>
      <c r="Q15" s="47"/>
      <c r="R15" s="47"/>
      <c r="S15" s="47"/>
      <c r="T15" s="48"/>
      <c r="U15" s="10"/>
      <c r="V15" s="425"/>
    </row>
    <row r="16" spans="1:30" ht="13" thickBot="1" x14ac:dyDescent="0.3">
      <c r="A16" s="78"/>
      <c r="B16" s="32"/>
      <c r="C16" s="32"/>
      <c r="D16" s="32"/>
      <c r="E16" s="32"/>
      <c r="F16" s="32"/>
      <c r="G16" s="79"/>
      <c r="H16" s="80"/>
      <c r="I16" s="65" t="s">
        <v>13</v>
      </c>
      <c r="J16" s="57"/>
      <c r="K16" s="32"/>
      <c r="L16" s="32"/>
      <c r="M16" s="81" t="str">
        <f>CONCATENATE('Programm Detail'!M$43," ",'Programm Detail'!$L$44," ",'Programm Detail'!M$44)</f>
        <v>1 f 12</v>
      </c>
      <c r="N16" s="82" t="str">
        <f>CONCATENATE('Programm Detail'!N$43," ",'Programm Detail'!$L$44," ",'Programm Detail'!N$44)</f>
        <v>1 f 14</v>
      </c>
      <c r="O16" s="82" t="str">
        <f>CONCATENATE('Programm Detail'!O$43," ",'Programm Detail'!$L$44," ",'Programm Detail'!O$44)</f>
        <v>1 f 16</v>
      </c>
      <c r="P16" s="82" t="str">
        <f>CONCATENATE('Programm Detail'!P$43," ",'Programm Detail'!$L$44," ",'Programm Detail'!P$44)</f>
        <v>1 f 20</v>
      </c>
      <c r="Q16" s="83" t="str">
        <f>CONCATENATE('Programm Detail'!Q$43," ",'Programm Detail'!$L$44," ",'Programm Detail'!Q$44)</f>
        <v>2 f 12</v>
      </c>
      <c r="R16" s="82" t="str">
        <f>CONCATENATE('Programm Detail'!R$43," ",'Programm Detail'!$L$44," ",'Programm Detail'!R$44)</f>
        <v>2 f 14</v>
      </c>
      <c r="S16" s="82" t="str">
        <f>CONCATENATE('Programm Detail'!S$43," ",'Programm Detail'!$L$44," ",'Programm Detail'!S$44)</f>
        <v>2 f 16</v>
      </c>
      <c r="T16" s="84" t="str">
        <f>CONCATENATE('Programm Detail'!T$43," ",'Programm Detail'!$L$44," ",'Programm Detail'!T$44)</f>
        <v>2 f 20</v>
      </c>
      <c r="U16" s="10"/>
      <c r="V16" s="424"/>
    </row>
    <row r="17" spans="1:28" ht="13" thickBot="1" x14ac:dyDescent="0.3">
      <c r="A17" s="63"/>
      <c r="B17" s="32"/>
      <c r="C17" s="4"/>
      <c r="D17" s="85"/>
      <c r="E17" s="86"/>
      <c r="F17" s="4"/>
      <c r="G17" s="87"/>
      <c r="H17" s="88"/>
      <c r="I17" s="32"/>
      <c r="J17" s="57"/>
      <c r="K17" s="32"/>
      <c r="L17" s="32"/>
      <c r="M17" s="89">
        <f>IF($E54&lt;0,"-",IF($E54/R19/1/12&lt;24,IF($E54/R19/1/12&gt;6,10*ROUNDUP(2*$E54/R19/1/12+0.5,0),125),"N"))</f>
        <v>400</v>
      </c>
      <c r="N17" s="90">
        <f>IF($E54&lt;0,"-",IF($E54/R19/1/14&lt;24,IF($E54/R19/1/14&gt;6,10*ROUNDUP(2*$E54/R19/1/14+0.5,0),125),"N"))</f>
        <v>340</v>
      </c>
      <c r="O17" s="90">
        <f>IF($E54&lt;0,"-",IF($E54/R19/1/16&lt;24,IF($E54/R19/1/16&gt;6,10*ROUNDUP(2*$E54/R19/1/16+0.5,0),125),"N"))</f>
        <v>300</v>
      </c>
      <c r="P17" s="90">
        <f>IF($E54&lt;0,"-",IF($E54/R19/1/20&lt;24,IF($E54/R19/1/20&gt;6,10*ROUNDUP(2*$E54/R19/1/20+0.5,0),125),"N"))</f>
        <v>240</v>
      </c>
      <c r="Q17" s="91">
        <f>IF($E54&lt;0,"-",IF($E54/R19/2/12&lt;24,IF($E54/R19/2/12&gt;6,10*ROUNDUP(2*$E54/R19/2/12+0.5,0),125),"N"))</f>
        <v>200</v>
      </c>
      <c r="R17" s="90">
        <f>IF($E54&lt;0,"-",IF($E54/R19/2/14&lt;24,IF($E54/R19/2/14&gt;6,10*ROUNDUP(2*$E54/R19/2/14+0.5,0),125),"N"))</f>
        <v>180</v>
      </c>
      <c r="S17" s="90">
        <f>IF($E54&lt;0,"-",IF($E54/R19/2/16&lt;24,IF($E54/R19/2/16&gt;6,10*ROUNDUP(2*$E54/R19/2/16+0.5,0),125),"N"))</f>
        <v>160</v>
      </c>
      <c r="T17" s="92">
        <f>IF($E54&lt;0,"-",IF($E54/R19/2/20&lt;24,IF($E54/R19/2/20&gt;6,10*ROUNDUP(2*$E54/R19/2/20+0.5,0),125),"N"))</f>
        <v>125</v>
      </c>
      <c r="U17" s="10"/>
      <c r="V17" s="424"/>
    </row>
    <row r="18" spans="1:28" ht="15.5" x14ac:dyDescent="0.4">
      <c r="A18" s="63"/>
      <c r="B18" s="32" t="s">
        <v>14</v>
      </c>
      <c r="C18" s="13"/>
      <c r="D18" s="93">
        <v>18</v>
      </c>
      <c r="E18" s="94"/>
      <c r="F18" s="95" t="s">
        <v>15</v>
      </c>
      <c r="G18" s="96"/>
      <c r="H18" s="97"/>
      <c r="I18" s="32"/>
      <c r="J18" s="32"/>
      <c r="K18" s="32"/>
      <c r="L18" s="32"/>
      <c r="M18" s="505" t="s">
        <v>254</v>
      </c>
      <c r="N18" s="429"/>
      <c r="O18" s="429"/>
      <c r="P18" s="429"/>
      <c r="Q18" s="430"/>
      <c r="R18" s="430">
        <f>0.16</f>
        <v>0.16</v>
      </c>
      <c r="S18" s="506" t="s">
        <v>255</v>
      </c>
      <c r="T18" s="431"/>
      <c r="U18" s="10"/>
      <c r="V18" s="424"/>
    </row>
    <row r="19" spans="1:28" ht="13.5" thickBot="1" x14ac:dyDescent="0.35">
      <c r="A19" s="99"/>
      <c r="B19" s="100"/>
      <c r="C19" s="101"/>
      <c r="D19" s="102"/>
      <c r="E19" s="103"/>
      <c r="F19" s="101"/>
      <c r="G19" s="104"/>
      <c r="H19" s="80"/>
      <c r="I19" s="105" t="s">
        <v>17</v>
      </c>
      <c r="J19" s="100"/>
      <c r="K19" s="32"/>
      <c r="L19" s="32"/>
      <c r="M19" s="417" t="s">
        <v>172</v>
      </c>
      <c r="N19" s="167"/>
      <c r="O19" s="167"/>
      <c r="P19" s="167"/>
      <c r="Q19" s="166"/>
      <c r="R19" s="458">
        <f>R18*3.1416/100*10</f>
        <v>5.0265600000000001E-2</v>
      </c>
      <c r="S19" s="459"/>
      <c r="T19" s="460" t="s">
        <v>173</v>
      </c>
      <c r="U19" s="10"/>
      <c r="V19" s="424"/>
    </row>
    <row r="20" spans="1:28" ht="15.5" x14ac:dyDescent="0.4">
      <c r="A20" s="30"/>
      <c r="B20" s="106" t="s">
        <v>18</v>
      </c>
      <c r="C20" s="57" t="s">
        <v>19</v>
      </c>
      <c r="D20" s="54">
        <f>SUM(D10:D18)</f>
        <v>168</v>
      </c>
      <c r="E20" s="54" t="s">
        <v>20</v>
      </c>
      <c r="F20" s="32"/>
      <c r="G20" s="32"/>
      <c r="H20" s="32"/>
      <c r="I20" s="32"/>
      <c r="J20" s="107" t="s">
        <v>21</v>
      </c>
      <c r="K20" s="32"/>
      <c r="L20" s="32"/>
      <c r="M20" s="32"/>
      <c r="N20" s="32"/>
      <c r="O20" s="32"/>
      <c r="P20" s="32"/>
      <c r="Q20" s="32"/>
      <c r="R20" s="32"/>
      <c r="S20" s="32"/>
      <c r="T20" s="44"/>
      <c r="U20" s="10"/>
      <c r="V20" s="424"/>
    </row>
    <row r="21" spans="1:28" ht="15.5" x14ac:dyDescent="0.4">
      <c r="A21" s="30"/>
      <c r="B21" s="50"/>
      <c r="C21" s="98" t="s">
        <v>22</v>
      </c>
      <c r="D21" s="108">
        <v>120</v>
      </c>
      <c r="E21" s="32" t="s">
        <v>20</v>
      </c>
      <c r="F21" s="32"/>
      <c r="G21" s="32"/>
      <c r="H21" s="49">
        <v>12</v>
      </c>
      <c r="I21" s="32" t="s">
        <v>174</v>
      </c>
      <c r="J21" s="32"/>
      <c r="K21" s="32"/>
      <c r="L21" s="109" t="s">
        <v>26</v>
      </c>
      <c r="M21" s="110" t="s">
        <v>27</v>
      </c>
      <c r="N21" s="111"/>
      <c r="O21" s="111"/>
      <c r="P21" s="111"/>
      <c r="Q21" s="111"/>
      <c r="R21" s="111"/>
      <c r="S21" s="112"/>
      <c r="T21" s="113" t="s">
        <v>28</v>
      </c>
      <c r="U21" s="10"/>
    </row>
    <row r="22" spans="1:28" ht="15.5" x14ac:dyDescent="0.4">
      <c r="A22" s="30"/>
      <c r="B22" s="50"/>
      <c r="C22" s="32"/>
      <c r="D22" s="32"/>
      <c r="E22" s="32"/>
      <c r="F22" s="32"/>
      <c r="G22" s="32"/>
      <c r="H22" s="49">
        <v>25</v>
      </c>
      <c r="I22" s="32" t="s">
        <v>175</v>
      </c>
      <c r="J22" s="32"/>
      <c r="K22" s="98"/>
      <c r="L22" s="114" t="s">
        <v>23</v>
      </c>
      <c r="M22" s="115" t="str">
        <f>IF(H21&lt;10,"ABMESSUNG ZU KLEIN"," ")</f>
        <v xml:space="preserve"> </v>
      </c>
      <c r="N22" s="116"/>
      <c r="O22" s="117"/>
      <c r="P22" s="118"/>
      <c r="Q22" s="116"/>
      <c r="R22" s="116"/>
      <c r="S22" s="119"/>
      <c r="T22" s="120">
        <f>IF(H21&lt;10,0,1)</f>
        <v>1</v>
      </c>
      <c r="U22" s="10"/>
    </row>
    <row r="23" spans="1:28" ht="15.5" x14ac:dyDescent="0.4">
      <c r="A23" s="30"/>
      <c r="B23" s="50"/>
      <c r="C23" s="32"/>
      <c r="D23" s="32"/>
      <c r="E23" s="32"/>
      <c r="F23" s="32"/>
      <c r="G23" s="32"/>
      <c r="H23" s="121"/>
      <c r="I23" s="32"/>
      <c r="J23" s="32"/>
      <c r="K23" s="98"/>
      <c r="L23" s="122" t="s">
        <v>25</v>
      </c>
      <c r="M23" s="123" t="str">
        <f>IF(H22&lt;H21,"ABMESSUNG ZU KLEIN",(IF(H22&lt;20,"ABMESSUNG ZU KLEIN"," ")))</f>
        <v xml:space="preserve"> </v>
      </c>
      <c r="N23" s="32"/>
      <c r="O23" s="98"/>
      <c r="P23" s="56"/>
      <c r="Q23" s="32"/>
      <c r="R23" s="32"/>
      <c r="S23" s="124"/>
      <c r="T23" s="125">
        <f>IF(H22&lt;H21,0,(IF(H22&lt;20,0,1)))</f>
        <v>1</v>
      </c>
      <c r="U23" s="10"/>
    </row>
    <row r="24" spans="1:28" ht="15.5" x14ac:dyDescent="0.4">
      <c r="A24" s="126" t="s">
        <v>29</v>
      </c>
      <c r="B24" s="127"/>
      <c r="C24" s="128"/>
      <c r="D24" s="128"/>
      <c r="E24" s="128"/>
      <c r="F24" s="129" t="s">
        <v>26</v>
      </c>
      <c r="G24" s="130" t="s">
        <v>30</v>
      </c>
      <c r="H24" s="131"/>
      <c r="I24" s="132" t="s">
        <v>31</v>
      </c>
      <c r="J24" s="133"/>
      <c r="K24" s="98"/>
      <c r="L24" s="122" t="s">
        <v>32</v>
      </c>
      <c r="M24" s="123" t="str">
        <f>IF(D21&gt;140,"B1 max. 140 cm"," ")</f>
        <v xml:space="preserve"> </v>
      </c>
      <c r="N24" s="32"/>
      <c r="O24" s="98"/>
      <c r="P24" s="56"/>
      <c r="Q24" s="32"/>
      <c r="R24" s="32"/>
      <c r="S24" s="124"/>
      <c r="T24" s="125">
        <f>IF(D21&gt;140,0,1)</f>
        <v>1</v>
      </c>
      <c r="U24" s="10"/>
    </row>
    <row r="25" spans="1:28" ht="15.5" x14ac:dyDescent="0.4">
      <c r="A25" s="134" t="s">
        <v>33</v>
      </c>
      <c r="B25" s="128"/>
      <c r="C25" s="128"/>
      <c r="D25" s="128"/>
      <c r="E25" s="135"/>
      <c r="F25" s="136">
        <v>27</v>
      </c>
      <c r="G25" s="501" t="s">
        <v>198</v>
      </c>
      <c r="H25" s="130"/>
      <c r="I25" s="503" t="s">
        <v>200</v>
      </c>
      <c r="J25" s="133"/>
      <c r="K25" s="32"/>
      <c r="L25" s="122" t="s">
        <v>5</v>
      </c>
      <c r="M25" s="123" t="str">
        <f>IF(D10&gt;140,"H1 max. 140cm",IF(D10&lt;30,"H1 mind. 30cm"," "))</f>
        <v xml:space="preserve"> </v>
      </c>
      <c r="N25" s="32"/>
      <c r="O25" s="98"/>
      <c r="P25" s="56"/>
      <c r="Q25" s="32"/>
      <c r="R25" s="32"/>
      <c r="S25" s="124"/>
      <c r="T25" s="125">
        <f>IF(D10&gt;140,0,1)</f>
        <v>1</v>
      </c>
      <c r="U25" s="10"/>
    </row>
    <row r="26" spans="1:28" ht="15.5" x14ac:dyDescent="0.4">
      <c r="A26" s="137" t="s">
        <v>196</v>
      </c>
      <c r="B26" s="138"/>
      <c r="C26" s="138"/>
      <c r="D26" s="138"/>
      <c r="E26" s="13"/>
      <c r="F26" s="504">
        <v>0.39</v>
      </c>
      <c r="G26" s="502" t="s">
        <v>197</v>
      </c>
      <c r="H26" s="139"/>
      <c r="I26" s="525" t="s">
        <v>264</v>
      </c>
      <c r="J26" s="140"/>
      <c r="K26" s="32"/>
      <c r="L26" s="122" t="s">
        <v>11</v>
      </c>
      <c r="M26" s="123" t="str">
        <f>IF(D15&lt;31,IF(D15&gt;=5," "," "),"H2 max. 30cm")</f>
        <v xml:space="preserve"> </v>
      </c>
      <c r="N26" s="32"/>
      <c r="O26" s="98"/>
      <c r="P26" s="56"/>
      <c r="Q26" s="32"/>
      <c r="R26" s="32"/>
      <c r="S26" s="124"/>
      <c r="T26" s="125">
        <f>IF(D15&lt;31,IF(D15&gt;=0,1,0),0)</f>
        <v>1</v>
      </c>
      <c r="U26" s="10"/>
    </row>
    <row r="27" spans="1:28" ht="15.5" x14ac:dyDescent="0.4">
      <c r="A27" s="519" t="s">
        <v>34</v>
      </c>
      <c r="B27" s="141"/>
      <c r="C27" s="141"/>
      <c r="D27" s="141"/>
      <c r="E27" s="24"/>
      <c r="F27" s="142">
        <v>2</v>
      </c>
      <c r="G27" s="143"/>
      <c r="H27" s="143"/>
      <c r="I27" s="144" t="s">
        <v>195</v>
      </c>
      <c r="J27" s="145"/>
      <c r="K27" s="32"/>
      <c r="L27" s="122" t="s">
        <v>14</v>
      </c>
      <c r="M27" s="123" t="str">
        <f>IF(D18&lt;31,IF(D18&gt;5," ","H2 min. 6cm"),"H2 max. 30cm")</f>
        <v xml:space="preserve"> </v>
      </c>
      <c r="N27" s="32"/>
      <c r="O27" s="98"/>
      <c r="P27" s="56"/>
      <c r="Q27" s="32"/>
      <c r="R27" s="32"/>
      <c r="S27" s="124"/>
      <c r="T27" s="125">
        <f>IF(D18&lt;31,IF(D18&gt;5,1,0),0)</f>
        <v>1</v>
      </c>
      <c r="U27" s="10"/>
      <c r="AB27" s="428"/>
    </row>
    <row r="28" spans="1:28" ht="13.5" x14ac:dyDescent="0.35">
      <c r="A28" s="78"/>
      <c r="B28" s="54"/>
      <c r="C28" s="54"/>
      <c r="D28" s="54"/>
      <c r="E28" s="54"/>
      <c r="F28" s="54"/>
      <c r="G28" s="54"/>
      <c r="H28" s="147"/>
      <c r="I28" s="148"/>
      <c r="J28" s="54"/>
      <c r="K28" s="32"/>
      <c r="L28" s="146" t="s">
        <v>253</v>
      </c>
      <c r="M28" s="123" t="str">
        <f>IF(F26&lt;0.5001,IF(F26&gt;0.1899," ","q b,0 min = 0,19 kN/m²"),"q b,0 max =  0,50 kN/m²")</f>
        <v xml:space="preserve"> </v>
      </c>
      <c r="N28" s="32"/>
      <c r="O28" s="98"/>
      <c r="P28" s="56"/>
      <c r="Q28" s="32"/>
      <c r="R28" s="32"/>
      <c r="S28" s="124"/>
      <c r="T28" s="125">
        <f>IF(F26&lt;0.5001,IF(F26&gt;0.1899,1,0),0)</f>
        <v>1</v>
      </c>
      <c r="U28" s="10"/>
      <c r="AB28" s="428"/>
    </row>
    <row r="29" spans="1:28" ht="13.5" x14ac:dyDescent="0.35">
      <c r="A29" s="156" t="s">
        <v>284</v>
      </c>
      <c r="B29" s="151"/>
      <c r="C29" s="151"/>
      <c r="D29" s="151"/>
      <c r="E29" s="151"/>
      <c r="F29" s="151"/>
      <c r="G29" s="468" t="s">
        <v>217</v>
      </c>
      <c r="H29" s="507">
        <v>1.5</v>
      </c>
      <c r="I29" s="153"/>
      <c r="J29" s="154"/>
      <c r="K29" s="149"/>
      <c r="L29" s="146" t="s">
        <v>35</v>
      </c>
      <c r="M29" s="123" t="str">
        <f>IF(F27=2," ",IF(F27=3," ",IF(F27=4," ","nur Geländeform 2, 3, 4 möglich")))</f>
        <v xml:space="preserve"> </v>
      </c>
      <c r="N29" s="32"/>
      <c r="O29" s="98"/>
      <c r="P29" s="56"/>
      <c r="Q29" s="32"/>
      <c r="R29" s="32"/>
      <c r="S29" s="124"/>
      <c r="T29" s="125">
        <f>IF(F27=2,1,IF(F27=3,1,IF(F27=4,1,0)))</f>
        <v>1</v>
      </c>
      <c r="U29" s="10"/>
      <c r="AB29" s="428"/>
    </row>
    <row r="30" spans="1:28" ht="13.5" x14ac:dyDescent="0.35">
      <c r="A30" s="156" t="s">
        <v>257</v>
      </c>
      <c r="B30" s="157">
        <f>IF(F27=2,2,(IF(F27=3,(5),(10))))</f>
        <v>2</v>
      </c>
      <c r="C30" s="158" t="s">
        <v>40</v>
      </c>
      <c r="D30" s="159" t="s">
        <v>258</v>
      </c>
      <c r="E30" s="151"/>
      <c r="F30" s="151"/>
      <c r="G30" s="151"/>
      <c r="H30" s="152"/>
      <c r="I30" s="508">
        <f>F26*B31*2.3*H29</f>
        <v>1.9202164939141384</v>
      </c>
      <c r="J30" s="267" t="s">
        <v>203</v>
      </c>
      <c r="K30" s="149"/>
      <c r="L30" s="155" t="s">
        <v>38</v>
      </c>
      <c r="M30" s="123" t="str">
        <f>IF(F25&gt;9.9999,IF(F25&lt;35.0001," ","spez. Gewicht max. 35KN/m³"),"spez.Gewicht mind. 10KN/m³")</f>
        <v xml:space="preserve"> </v>
      </c>
      <c r="N30" s="32"/>
      <c r="O30" s="98"/>
      <c r="P30" s="56"/>
      <c r="Q30" s="32"/>
      <c r="R30" s="32"/>
      <c r="S30" s="124"/>
      <c r="T30" s="125">
        <f>IF(F25&lt;10,0,IF(F25&gt;35,0,1))</f>
        <v>1</v>
      </c>
      <c r="U30" s="10"/>
      <c r="AB30" s="428"/>
    </row>
    <row r="31" spans="1:28" ht="13.5" x14ac:dyDescent="0.35">
      <c r="A31" s="156" t="s">
        <v>256</v>
      </c>
      <c r="B31" s="157">
        <f>IF(F27=2,(2.1*(2/10)^0.24),IF(F27=3,1.75*(5/10)^0.29,1.2*(10/10)^0.38))</f>
        <v>1.4271397204861676</v>
      </c>
      <c r="C31" s="158"/>
      <c r="D31" s="159" t="s">
        <v>259</v>
      </c>
      <c r="E31" s="160"/>
      <c r="F31" s="473"/>
      <c r="G31" s="161"/>
      <c r="H31" s="161"/>
      <c r="I31" s="162">
        <f>F26*B31*1.4*H29</f>
        <v>1.1688274310781712</v>
      </c>
      <c r="J31" s="267" t="s">
        <v>203</v>
      </c>
      <c r="K31" s="163"/>
      <c r="L31" s="420"/>
      <c r="M31" s="165"/>
      <c r="N31" s="166"/>
      <c r="O31" s="167"/>
      <c r="P31" s="168"/>
      <c r="Q31" s="166"/>
      <c r="R31" s="166"/>
      <c r="S31" s="169"/>
      <c r="T31" s="170"/>
      <c r="U31" s="10"/>
    </row>
    <row r="32" spans="1:28" ht="14" thickBot="1" x14ac:dyDescent="0.4">
      <c r="A32" s="522" t="s">
        <v>277</v>
      </c>
      <c r="B32" s="100"/>
      <c r="C32" s="100"/>
      <c r="D32" s="100"/>
      <c r="E32" s="511" t="s">
        <v>217</v>
      </c>
      <c r="F32" s="523">
        <v>1.5</v>
      </c>
      <c r="G32" s="511" t="s">
        <v>278</v>
      </c>
      <c r="H32" s="172"/>
      <c r="I32" s="524">
        <f>IF((D20&gt;110),(0.5*D21*1.5/100),(0.5*D21*1.5/110*D20/100))</f>
        <v>0.9</v>
      </c>
      <c r="J32" s="523" t="s">
        <v>227</v>
      </c>
      <c r="K32" s="173"/>
      <c r="L32" s="174"/>
      <c r="M32" s="100"/>
      <c r="N32" s="100"/>
      <c r="O32" s="100"/>
      <c r="P32" s="100"/>
      <c r="Q32" s="100"/>
      <c r="R32" s="175"/>
      <c r="S32" s="100"/>
      <c r="T32" s="62"/>
      <c r="U32" s="10"/>
    </row>
    <row r="33" spans="1:21" x14ac:dyDescent="0.25">
      <c r="A33" s="176" t="s">
        <v>39</v>
      </c>
      <c r="B33" s="177"/>
      <c r="C33" s="177"/>
      <c r="D33" s="177"/>
      <c r="E33" s="177"/>
      <c r="F33" s="178"/>
      <c r="G33" s="32"/>
      <c r="H33" s="32"/>
      <c r="I33" s="179"/>
      <c r="J33" s="118" t="s">
        <v>176</v>
      </c>
      <c r="K33" s="116"/>
      <c r="L33" s="116"/>
      <c r="M33" s="116"/>
      <c r="N33" s="116"/>
      <c r="O33" s="180"/>
      <c r="P33" s="116"/>
      <c r="Q33" s="116"/>
      <c r="R33" s="177"/>
      <c r="S33" s="116"/>
      <c r="T33" s="181"/>
      <c r="U33" s="10"/>
    </row>
    <row r="34" spans="1:21" x14ac:dyDescent="0.25">
      <c r="A34" s="30"/>
      <c r="B34" s="32"/>
      <c r="C34" s="32"/>
      <c r="D34" s="32"/>
      <c r="E34" s="32"/>
      <c r="F34" s="124"/>
      <c r="G34" s="32"/>
      <c r="H34" s="32"/>
      <c r="I34" s="182"/>
      <c r="J34" s="32"/>
      <c r="K34" s="32"/>
      <c r="L34" s="32"/>
      <c r="M34" s="32"/>
      <c r="N34" s="32"/>
      <c r="O34" s="32"/>
      <c r="P34" s="32"/>
      <c r="Q34" s="32"/>
      <c r="R34" s="183"/>
      <c r="S34" s="32"/>
      <c r="T34" s="44"/>
      <c r="U34" s="10"/>
    </row>
    <row r="35" spans="1:21" x14ac:dyDescent="0.25">
      <c r="A35" s="30"/>
      <c r="B35" s="32"/>
      <c r="C35" s="32"/>
      <c r="D35" s="32"/>
      <c r="E35" s="32"/>
      <c r="F35" s="124"/>
      <c r="G35" s="32"/>
      <c r="H35" s="32"/>
      <c r="I35" s="182"/>
      <c r="J35" s="32"/>
      <c r="K35" s="32"/>
      <c r="L35" s="32"/>
      <c r="M35" s="32"/>
      <c r="N35" s="32"/>
      <c r="O35" s="32"/>
      <c r="P35" s="32"/>
      <c r="Q35" s="32"/>
      <c r="R35" s="183"/>
      <c r="S35" s="32"/>
      <c r="T35" s="44"/>
      <c r="U35" s="10"/>
    </row>
    <row r="36" spans="1:21" x14ac:dyDescent="0.25">
      <c r="A36" s="30"/>
      <c r="B36" s="32"/>
      <c r="C36" s="32"/>
      <c r="D36" s="32"/>
      <c r="E36" s="32"/>
      <c r="F36" s="124"/>
      <c r="G36" s="32"/>
      <c r="H36" s="32"/>
      <c r="I36" s="18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44"/>
      <c r="U36" s="10"/>
    </row>
    <row r="37" spans="1:21" ht="15.5" x14ac:dyDescent="0.4">
      <c r="A37" s="30"/>
      <c r="B37" s="32"/>
      <c r="C37" s="32"/>
      <c r="D37" s="32"/>
      <c r="E37" s="32"/>
      <c r="F37" s="124"/>
      <c r="G37" s="32"/>
      <c r="H37" s="32"/>
      <c r="I37" s="182"/>
      <c r="J37" s="32"/>
      <c r="K37" s="32"/>
      <c r="L37" s="32"/>
      <c r="M37" s="55" t="s">
        <v>177</v>
      </c>
      <c r="N37" s="32"/>
      <c r="O37" s="32"/>
      <c r="P37" s="32"/>
      <c r="Q37" s="32"/>
      <c r="R37" s="32"/>
      <c r="S37" s="32"/>
      <c r="T37" s="44"/>
      <c r="U37" s="10"/>
    </row>
    <row r="38" spans="1:21" ht="15.5" x14ac:dyDescent="0.4">
      <c r="A38" s="30"/>
      <c r="B38" s="32"/>
      <c r="C38" s="32"/>
      <c r="D38" s="32"/>
      <c r="E38" s="32"/>
      <c r="F38" s="124"/>
      <c r="G38" s="32"/>
      <c r="H38" s="32"/>
      <c r="I38" s="182"/>
      <c r="J38" s="32"/>
      <c r="K38" s="32"/>
      <c r="L38" s="32"/>
      <c r="M38" s="32"/>
      <c r="N38" s="32"/>
      <c r="O38" s="184" t="s">
        <v>178</v>
      </c>
      <c r="P38" s="32"/>
      <c r="Q38" s="32"/>
      <c r="R38" s="32"/>
      <c r="S38" s="32"/>
      <c r="T38" s="44"/>
      <c r="U38" s="10"/>
    </row>
    <row r="39" spans="1:21" x14ac:dyDescent="0.25">
      <c r="A39" s="30"/>
      <c r="B39" s="32"/>
      <c r="C39" s="32"/>
      <c r="D39" s="32"/>
      <c r="E39" s="32"/>
      <c r="F39" s="124"/>
      <c r="G39" s="32"/>
      <c r="H39" s="32"/>
      <c r="I39" s="18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44"/>
      <c r="U39" s="10"/>
    </row>
    <row r="40" spans="1:21" ht="15.5" x14ac:dyDescent="0.4">
      <c r="A40" s="30"/>
      <c r="B40" s="32"/>
      <c r="C40" s="32"/>
      <c r="D40" s="32"/>
      <c r="E40" s="32"/>
      <c r="F40" s="124"/>
      <c r="G40" s="32"/>
      <c r="H40" s="32"/>
      <c r="I40" s="182"/>
      <c r="J40" s="32"/>
      <c r="K40" s="32"/>
      <c r="L40" s="32"/>
      <c r="M40" s="55" t="s">
        <v>179</v>
      </c>
      <c r="N40" s="32"/>
      <c r="O40" s="32"/>
      <c r="P40" s="185"/>
      <c r="Q40" s="32"/>
      <c r="R40" s="32"/>
      <c r="S40" s="32"/>
      <c r="T40" s="44"/>
      <c r="U40" s="10"/>
    </row>
    <row r="41" spans="1:21" x14ac:dyDescent="0.25">
      <c r="A41" s="30"/>
      <c r="B41" s="32"/>
      <c r="C41" s="32"/>
      <c r="D41" s="32"/>
      <c r="E41" s="32"/>
      <c r="F41" s="124"/>
      <c r="G41" s="32"/>
      <c r="H41" s="32"/>
      <c r="I41" s="18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44"/>
      <c r="U41" s="10"/>
    </row>
    <row r="42" spans="1:21" x14ac:dyDescent="0.25">
      <c r="A42" s="30"/>
      <c r="B42" s="32"/>
      <c r="C42" s="32"/>
      <c r="D42" s="32"/>
      <c r="E42" s="32"/>
      <c r="F42" s="124"/>
      <c r="G42" s="32"/>
      <c r="H42" s="32"/>
      <c r="I42" s="18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44"/>
      <c r="U42" s="10"/>
    </row>
    <row r="43" spans="1:21" x14ac:dyDescent="0.25">
      <c r="A43" s="186"/>
      <c r="B43" s="166"/>
      <c r="C43" s="166"/>
      <c r="D43" s="166"/>
      <c r="E43" s="166"/>
      <c r="F43" s="169"/>
      <c r="G43" s="32"/>
      <c r="H43" s="32"/>
      <c r="I43" s="18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44"/>
      <c r="U43" s="10"/>
    </row>
    <row r="44" spans="1:21" x14ac:dyDescent="0.25">
      <c r="A44" s="30"/>
      <c r="B44" s="32"/>
      <c r="C44" s="32"/>
      <c r="D44" s="32"/>
      <c r="E44" s="32"/>
      <c r="F44" s="32"/>
      <c r="G44" s="32"/>
      <c r="H44" s="32"/>
      <c r="I44" s="18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44"/>
      <c r="U44" s="10"/>
    </row>
    <row r="45" spans="1:21" x14ac:dyDescent="0.25">
      <c r="A45" s="187" t="s">
        <v>180</v>
      </c>
      <c r="B45" s="116"/>
      <c r="C45" s="116"/>
      <c r="D45" s="116"/>
      <c r="E45" s="116"/>
      <c r="F45" s="119"/>
      <c r="G45" s="32"/>
      <c r="H45" s="32"/>
      <c r="I45" s="188"/>
      <c r="J45" s="189" t="s">
        <v>76</v>
      </c>
      <c r="K45" s="190"/>
      <c r="L45" s="190"/>
      <c r="M45" s="190"/>
      <c r="N45" s="190"/>
      <c r="O45" s="190"/>
      <c r="P45" s="190"/>
      <c r="Q45" s="190"/>
      <c r="R45" s="191"/>
      <c r="S45" s="32"/>
      <c r="T45" s="44"/>
      <c r="U45" s="10"/>
    </row>
    <row r="46" spans="1:21" ht="13" x14ac:dyDescent="0.3">
      <c r="A46" s="192" t="s">
        <v>181</v>
      </c>
      <c r="B46" s="166"/>
      <c r="C46" s="32"/>
      <c r="D46" s="166"/>
      <c r="E46" s="166"/>
      <c r="F46" s="193"/>
      <c r="G46" s="32"/>
      <c r="H46" s="32"/>
      <c r="I46" s="188"/>
      <c r="J46" s="194" t="s">
        <v>77</v>
      </c>
      <c r="K46" s="195"/>
      <c r="L46" s="195"/>
      <c r="M46" s="195"/>
      <c r="N46" s="195"/>
      <c r="O46" s="195"/>
      <c r="P46" s="195"/>
      <c r="Q46" s="195"/>
      <c r="R46" s="196"/>
      <c r="S46" s="32"/>
      <c r="T46" s="44"/>
      <c r="U46" s="10"/>
    </row>
    <row r="47" spans="1:21" ht="15.5" x14ac:dyDescent="0.4">
      <c r="A47" s="197" t="s">
        <v>182</v>
      </c>
      <c r="B47" s="116"/>
      <c r="C47" s="119"/>
      <c r="D47" s="509" t="s">
        <v>237</v>
      </c>
      <c r="E47" s="198">
        <f>MAX(((IF(D21&gt;0.3*D20,(I30*0.3*D20*D10+I31*(D21-0.3*D20)*D10)/100^2,I30*D21*D10/100^2))*D10/200),(IF(D20&gt;=100,I32*(110-D18-D15)/100,I32*(D20-D18-D15)/100)))</f>
        <v>1.3916351601274473</v>
      </c>
      <c r="F47" s="510" t="s">
        <v>228</v>
      </c>
      <c r="G47" s="32"/>
      <c r="H47" s="32"/>
      <c r="I47" s="188"/>
      <c r="J47" s="199"/>
      <c r="K47" s="199"/>
      <c r="L47" s="199"/>
      <c r="M47" s="32"/>
      <c r="N47" s="32"/>
      <c r="O47" s="32"/>
      <c r="P47" s="32"/>
      <c r="Q47" s="32"/>
      <c r="R47" s="32"/>
      <c r="S47" s="32"/>
      <c r="T47" s="44"/>
      <c r="U47" s="10"/>
    </row>
    <row r="48" spans="1:21" ht="15.5" x14ac:dyDescent="0.4">
      <c r="A48" s="200"/>
      <c r="B48" s="32"/>
      <c r="C48" s="124"/>
      <c r="D48" s="201" t="s">
        <v>260</v>
      </c>
      <c r="E48" s="202">
        <f>(F25/1000000)*H21*D10*D21</f>
        <v>4.8599999999999994</v>
      </c>
      <c r="F48" s="203" t="s">
        <v>227</v>
      </c>
      <c r="G48" s="32"/>
      <c r="H48" s="32"/>
      <c r="I48" s="188"/>
      <c r="J48" s="199" t="s">
        <v>183</v>
      </c>
      <c r="K48" s="204"/>
      <c r="L48" s="204"/>
      <c r="M48" s="54" t="s">
        <v>184</v>
      </c>
      <c r="N48" s="204"/>
      <c r="O48" s="204"/>
      <c r="P48" s="204"/>
      <c r="Q48" s="32"/>
      <c r="R48" s="32"/>
      <c r="S48" s="32"/>
      <c r="T48" s="44"/>
      <c r="U48" s="10"/>
    </row>
    <row r="49" spans="1:21" ht="15.5" x14ac:dyDescent="0.4">
      <c r="A49" s="205"/>
      <c r="B49" s="32"/>
      <c r="C49" s="124"/>
      <c r="D49" s="206" t="s">
        <v>185</v>
      </c>
      <c r="E49" s="207">
        <f>E47-E48*H21/200</f>
        <v>1.1000351601274474</v>
      </c>
      <c r="F49" s="208" t="s">
        <v>228</v>
      </c>
      <c r="G49" s="32"/>
      <c r="H49" s="32"/>
      <c r="I49" s="188"/>
      <c r="J49" s="199" t="s">
        <v>186</v>
      </c>
      <c r="K49" s="204"/>
      <c r="L49" s="204"/>
      <c r="M49" s="204" t="s">
        <v>187</v>
      </c>
      <c r="N49" s="204"/>
      <c r="O49" s="204"/>
      <c r="P49" s="204"/>
      <c r="Q49" s="32"/>
      <c r="R49" s="32"/>
      <c r="S49" s="32"/>
      <c r="T49" s="44"/>
      <c r="U49" s="10"/>
    </row>
    <row r="50" spans="1:21" ht="13.5" x14ac:dyDescent="0.35">
      <c r="A50" s="192"/>
      <c r="B50" s="166"/>
      <c r="C50" s="169"/>
      <c r="D50" s="164" t="s">
        <v>188</v>
      </c>
      <c r="E50" s="209">
        <f>E49*200/H21/(MIN(T22,T23,T24,T25,T26,T27,T28,T29,T30))</f>
        <v>18.333919335457455</v>
      </c>
      <c r="F50" s="210" t="s">
        <v>227</v>
      </c>
      <c r="G50" s="32"/>
      <c r="H50" s="32"/>
      <c r="I50" s="188"/>
      <c r="J50" s="211" t="str">
        <f>CONCATENATE(2," ","f"," ",16)</f>
        <v>2 f 16</v>
      </c>
      <c r="K50" s="204"/>
      <c r="L50" s="204"/>
      <c r="M50" s="204" t="s">
        <v>189</v>
      </c>
      <c r="N50" s="204"/>
      <c r="O50" s="204"/>
      <c r="P50" s="204"/>
      <c r="Q50" s="32"/>
      <c r="R50" s="32"/>
      <c r="S50" s="32"/>
      <c r="T50" s="44"/>
      <c r="U50" s="10"/>
    </row>
    <row r="51" spans="1:21" ht="15.5" x14ac:dyDescent="0.4">
      <c r="A51" s="197" t="s">
        <v>190</v>
      </c>
      <c r="B51" s="116"/>
      <c r="C51" s="32"/>
      <c r="D51" s="212" t="s">
        <v>261</v>
      </c>
      <c r="E51" s="207">
        <f>MAX(((IF(D21&gt;0.3*D20,((I30*0.3*D20*D15+I31*(D21-0.3*D20)*D15))/100^2,I30*D21*D15/100^2)))*D15/200+E47/(D10/200)*(D10/2+D15)/100,IF(D20&gt;=110,I32*1.1,I32*(D20-D18)/100))</f>
        <v>2.0039546305835243</v>
      </c>
      <c r="F51" s="213" t="s">
        <v>228</v>
      </c>
      <c r="G51" s="32"/>
      <c r="H51" s="32"/>
      <c r="I51" s="214"/>
      <c r="J51" s="215" t="s">
        <v>191</v>
      </c>
      <c r="K51" s="216"/>
      <c r="L51" s="216"/>
      <c r="M51" s="216" t="s">
        <v>192</v>
      </c>
      <c r="N51" s="216"/>
      <c r="O51" s="216"/>
      <c r="P51" s="216"/>
      <c r="Q51" s="217"/>
      <c r="R51" s="166"/>
      <c r="S51" s="166"/>
      <c r="T51" s="218"/>
      <c r="U51" s="10"/>
    </row>
    <row r="52" spans="1:21" ht="15.5" x14ac:dyDescent="0.4">
      <c r="A52" s="219"/>
      <c r="B52" s="32"/>
      <c r="C52" s="32"/>
      <c r="D52" s="201" t="s">
        <v>262</v>
      </c>
      <c r="E52" s="202">
        <f>(F25/1000000)*H22*D15*D21+E48</f>
        <v>6.8849999999999998</v>
      </c>
      <c r="F52" s="203" t="s">
        <v>36</v>
      </c>
      <c r="G52" s="32"/>
      <c r="H52" s="32"/>
      <c r="I52" s="220"/>
      <c r="J52" s="204" t="s">
        <v>193</v>
      </c>
      <c r="K52" s="204"/>
      <c r="L52" s="204"/>
      <c r="M52" s="204"/>
      <c r="N52" s="204"/>
      <c r="O52" s="204"/>
      <c r="P52" s="204"/>
      <c r="Q52" s="32"/>
      <c r="R52" s="32"/>
      <c r="S52" s="56"/>
      <c r="T52" s="44"/>
      <c r="U52" s="10"/>
    </row>
    <row r="53" spans="1:21" ht="13.5" x14ac:dyDescent="0.35">
      <c r="A53" s="30"/>
      <c r="B53" s="32"/>
      <c r="C53" s="32"/>
      <c r="D53" s="206" t="s">
        <v>194</v>
      </c>
      <c r="E53" s="207">
        <f>E51-E48*H21/200-(E52-E48)*H22/200</f>
        <v>1.4592296305835244</v>
      </c>
      <c r="F53" s="213" t="s">
        <v>69</v>
      </c>
      <c r="G53" s="32"/>
      <c r="H53" s="32"/>
      <c r="I53" s="182"/>
      <c r="J53" s="204" t="s">
        <v>294</v>
      </c>
      <c r="K53" s="204"/>
      <c r="L53" s="204"/>
      <c r="M53" s="204"/>
      <c r="N53" s="204"/>
      <c r="O53" s="204"/>
      <c r="P53" s="204"/>
      <c r="Q53" s="32"/>
      <c r="R53" s="32"/>
      <c r="S53" s="32"/>
      <c r="T53" s="44"/>
      <c r="U53" s="10"/>
    </row>
    <row r="54" spans="1:21" ht="14" thickBot="1" x14ac:dyDescent="0.4">
      <c r="A54" s="171"/>
      <c r="B54" s="100"/>
      <c r="C54" s="100"/>
      <c r="D54" s="221" t="s">
        <v>188</v>
      </c>
      <c r="E54" s="222">
        <f>IF(D15=0,E50,E53/(H22/200)/(MIN(T22,T23,T24,T25,T26,T27,T28,T29,T30)))</f>
        <v>11.673837044668195</v>
      </c>
      <c r="F54" s="223" t="s">
        <v>36</v>
      </c>
      <c r="G54" s="100"/>
      <c r="H54" s="100"/>
      <c r="I54" s="224"/>
      <c r="J54" s="511" t="s">
        <v>263</v>
      </c>
      <c r="K54" s="100"/>
      <c r="L54" s="100"/>
      <c r="M54" s="100"/>
      <c r="N54" s="100"/>
      <c r="O54" s="100"/>
      <c r="P54" s="100"/>
      <c r="Q54" s="100"/>
      <c r="R54" s="100"/>
      <c r="S54" s="225"/>
      <c r="T54" s="226"/>
      <c r="U54" s="10"/>
    </row>
    <row r="55" spans="1:21" ht="15.5" x14ac:dyDescent="0.35">
      <c r="A55" s="445" t="s">
        <v>82</v>
      </c>
      <c r="B55" s="441"/>
      <c r="C55" s="441"/>
      <c r="D55" s="441"/>
      <c r="E55" s="441"/>
      <c r="F55" s="441"/>
      <c r="G55" s="441"/>
      <c r="H55" s="441"/>
      <c r="I55" s="441"/>
      <c r="J55" s="441"/>
      <c r="K55" s="441"/>
      <c r="L55" s="441"/>
      <c r="M55" s="441"/>
      <c r="N55" s="441"/>
      <c r="O55" s="441"/>
      <c r="P55" s="441"/>
      <c r="Q55" s="441"/>
      <c r="R55" s="441"/>
      <c r="S55" s="441"/>
      <c r="T55" s="442"/>
      <c r="U55" s="10"/>
    </row>
    <row r="56" spans="1:21" ht="16" thickBot="1" x14ac:dyDescent="0.4">
      <c r="A56" s="446" t="s">
        <v>83</v>
      </c>
      <c r="B56" s="443"/>
      <c r="C56" s="443"/>
      <c r="D56" s="443"/>
      <c r="E56" s="443"/>
      <c r="F56" s="443"/>
      <c r="G56" s="443"/>
      <c r="H56" s="443"/>
      <c r="I56" s="443"/>
      <c r="J56" s="443"/>
      <c r="K56" s="443"/>
      <c r="L56" s="443"/>
      <c r="M56" s="443"/>
      <c r="N56" s="443"/>
      <c r="O56" s="443"/>
      <c r="P56" s="443"/>
      <c r="Q56" s="443"/>
      <c r="R56" s="443"/>
      <c r="S56" s="443"/>
      <c r="T56" s="444"/>
      <c r="U56" s="10"/>
    </row>
    <row r="57" spans="1:2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</row>
    <row r="58" spans="1:2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</row>
    <row r="59" spans="1:2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</row>
    <row r="60" spans="1:2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</row>
    <row r="61" spans="1:2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1:2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</row>
    <row r="64" spans="1:2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1:2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1:2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</sheetData>
  <sheetProtection algorithmName="SHA-512" hashValue="Z1GuScphBtTo7FDpiRg6oZ2qpZj/m9vjcgV62yvMLCMkt34kB8mZEtHgtGORczmHxFOvM9jSdoGQtwZGzma8EQ==" saltValue="8+pPpmJwJWq11B+ecENUEA==" spinCount="100000" sheet="1" objects="1" scenarios="1" selectLockedCells="1"/>
  <pageMargins left="0.78740157480314965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1"/>
  <sheetViews>
    <sheetView zoomScaleNormal="100" workbookViewId="0">
      <selection activeCell="F24" sqref="F24"/>
    </sheetView>
  </sheetViews>
  <sheetFormatPr baseColWidth="10" defaultRowHeight="12.5" x14ac:dyDescent="0.25"/>
  <cols>
    <col min="1" max="1" width="3.54296875" customWidth="1"/>
    <col min="2" max="2" width="5" customWidth="1"/>
    <col min="3" max="3" width="5.7265625" customWidth="1"/>
    <col min="4" max="4" width="4.81640625" customWidth="1"/>
    <col min="5" max="5" width="4.54296875" customWidth="1"/>
    <col min="6" max="6" width="5.26953125" customWidth="1"/>
    <col min="7" max="7" width="3.453125" customWidth="1"/>
    <col min="8" max="8" width="3.54296875" customWidth="1"/>
    <col min="9" max="9" width="7" customWidth="1"/>
    <col min="10" max="11" width="4.7265625" customWidth="1"/>
    <col min="12" max="20" width="4.54296875" customWidth="1"/>
    <col min="21" max="31" width="5" customWidth="1"/>
    <col min="32" max="32" width="4.453125" customWidth="1"/>
    <col min="33" max="36" width="4.7265625" customWidth="1"/>
    <col min="37" max="40" width="2.81640625" customWidth="1"/>
  </cols>
  <sheetData>
    <row r="1" spans="1:32" ht="13" x14ac:dyDescent="0.3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 t="s">
        <v>279</v>
      </c>
      <c r="R1" s="7"/>
      <c r="S1" s="8"/>
      <c r="T1" s="9"/>
      <c r="U1" s="10"/>
      <c r="V1" s="10"/>
      <c r="AB1" s="1"/>
      <c r="AC1" s="1"/>
      <c r="AD1" s="1"/>
      <c r="AE1" s="1"/>
      <c r="AF1" s="1"/>
    </row>
    <row r="2" spans="1:32" ht="18.75" customHeight="1" x14ac:dyDescent="0.4">
      <c r="A2" s="11"/>
      <c r="B2" s="12" t="s">
        <v>0</v>
      </c>
      <c r="C2" s="13"/>
      <c r="D2" s="14"/>
      <c r="E2" s="14"/>
      <c r="F2" s="15"/>
      <c r="G2" s="15"/>
      <c r="H2" s="16"/>
      <c r="I2" s="16"/>
      <c r="J2" s="16"/>
      <c r="K2" s="16"/>
      <c r="L2" s="16"/>
      <c r="M2" s="16"/>
      <c r="N2" s="16"/>
      <c r="O2" s="17"/>
      <c r="P2" s="18"/>
      <c r="Q2" s="19">
        <v>42535</v>
      </c>
      <c r="R2" s="20"/>
      <c r="S2" s="21"/>
      <c r="T2" s="22"/>
      <c r="U2" s="10"/>
      <c r="V2" s="10"/>
      <c r="AB2" s="1"/>
      <c r="AC2" s="1"/>
      <c r="AD2" s="1"/>
      <c r="AE2" s="1"/>
      <c r="AF2" s="1"/>
    </row>
    <row r="3" spans="1:32" ht="13" x14ac:dyDescent="0.3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5"/>
      <c r="Q3" s="26" t="s">
        <v>1</v>
      </c>
      <c r="R3" s="27"/>
      <c r="S3" s="28"/>
      <c r="T3" s="29"/>
      <c r="U3" s="10"/>
      <c r="V3" s="10"/>
      <c r="AB3" s="1"/>
      <c r="AC3" s="1"/>
      <c r="AD3" s="1"/>
      <c r="AE3" s="1"/>
      <c r="AF3" s="1"/>
    </row>
    <row r="4" spans="1:32" ht="13" x14ac:dyDescent="0.3">
      <c r="A4" s="30"/>
      <c r="B4" s="31" t="s">
        <v>2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3" t="s">
        <v>3</v>
      </c>
      <c r="R4" s="34"/>
      <c r="S4" s="35"/>
      <c r="T4" s="36"/>
      <c r="U4" s="10"/>
      <c r="V4" s="10"/>
      <c r="AB4" s="1"/>
      <c r="AC4" s="1"/>
      <c r="AD4" s="1"/>
      <c r="AE4" s="1"/>
      <c r="AF4" s="1"/>
    </row>
    <row r="5" spans="1:32" ht="18.5" thickBot="1" x14ac:dyDescent="0.45">
      <c r="A5" s="4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19" t="s">
        <v>4</v>
      </c>
      <c r="R5" s="37"/>
      <c r="S5" s="38"/>
      <c r="T5" s="39"/>
      <c r="U5" s="10"/>
      <c r="V5" s="10"/>
      <c r="AB5" s="1"/>
      <c r="AC5" s="1"/>
      <c r="AD5" s="1"/>
      <c r="AE5" s="1"/>
      <c r="AF5" s="1"/>
    </row>
    <row r="6" spans="1:32" ht="18.75" customHeight="1" x14ac:dyDescent="0.3">
      <c r="A6" s="30"/>
      <c r="B6" s="32"/>
      <c r="C6" s="32"/>
      <c r="D6" s="32"/>
      <c r="E6" s="32"/>
      <c r="F6" s="32"/>
      <c r="G6" s="32"/>
      <c r="H6" s="43"/>
      <c r="I6" s="32"/>
      <c r="J6" s="166"/>
      <c r="K6" s="166"/>
      <c r="L6" s="244">
        <f>IF((L11=110),(F28*C19/100),(0.5/110*L11*C19/100))</f>
        <v>0.6</v>
      </c>
      <c r="M6" s="106" t="s">
        <v>235</v>
      </c>
      <c r="N6" s="32"/>
      <c r="O6" s="32"/>
      <c r="P6" s="32"/>
      <c r="Q6" s="476" t="s">
        <v>218</v>
      </c>
      <c r="R6" s="34"/>
      <c r="S6" s="35"/>
      <c r="T6" s="36"/>
      <c r="U6" s="10"/>
      <c r="V6" s="10"/>
      <c r="AB6" s="1"/>
      <c r="AC6" s="1"/>
      <c r="AD6" s="1"/>
      <c r="AE6" s="1"/>
      <c r="AF6" s="1"/>
    </row>
    <row r="7" spans="1:32" ht="9.75" customHeight="1" x14ac:dyDescent="0.3">
      <c r="A7" s="30"/>
      <c r="B7" s="32"/>
      <c r="C7" s="32"/>
      <c r="D7" s="32"/>
      <c r="E7" s="32"/>
      <c r="F7" s="32"/>
      <c r="G7" s="32"/>
      <c r="H7" s="45"/>
      <c r="I7" s="32"/>
      <c r="J7" s="32"/>
      <c r="K7" s="32"/>
      <c r="L7" s="245"/>
      <c r="M7" s="32"/>
      <c r="N7" s="32"/>
      <c r="O7" s="32"/>
      <c r="P7" s="32"/>
      <c r="Q7" s="19" t="s">
        <v>236</v>
      </c>
      <c r="R7" s="37"/>
      <c r="S7" s="38"/>
      <c r="T7" s="39"/>
      <c r="U7" s="10"/>
      <c r="V7" s="10"/>
      <c r="AB7" s="1"/>
      <c r="AC7" s="1"/>
      <c r="AD7" s="1"/>
      <c r="AE7" s="1"/>
      <c r="AF7" s="1"/>
    </row>
    <row r="8" spans="1:32" ht="15.5" x14ac:dyDescent="0.4">
      <c r="A8" s="30"/>
      <c r="B8" s="32" t="s">
        <v>5</v>
      </c>
      <c r="C8" s="32"/>
      <c r="D8" s="49">
        <v>125</v>
      </c>
      <c r="E8" s="50"/>
      <c r="F8" s="32"/>
      <c r="G8" s="32"/>
      <c r="H8" s="45"/>
      <c r="I8" s="32"/>
      <c r="J8" s="32"/>
      <c r="K8" s="32"/>
      <c r="L8" s="32"/>
      <c r="M8" s="32"/>
      <c r="N8" s="32"/>
      <c r="O8" s="32" t="s">
        <v>6</v>
      </c>
      <c r="P8" s="32"/>
      <c r="Q8" s="32"/>
      <c r="R8" s="32"/>
      <c r="S8" s="32"/>
      <c r="T8" s="44"/>
      <c r="U8" s="10"/>
      <c r="V8" s="10"/>
      <c r="AB8" s="1"/>
    </row>
    <row r="9" spans="1:32" ht="13.5" customHeight="1" x14ac:dyDescent="0.4">
      <c r="A9" s="30"/>
      <c r="B9" s="32"/>
      <c r="C9" s="32"/>
      <c r="D9" s="55"/>
      <c r="E9" s="56"/>
      <c r="F9" s="32"/>
      <c r="G9" s="32"/>
      <c r="H9" s="45" t="s">
        <v>7</v>
      </c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44"/>
      <c r="U9" s="10"/>
      <c r="V9" s="10"/>
      <c r="AB9" s="1"/>
    </row>
    <row r="10" spans="1:32" x14ac:dyDescent="0.25">
      <c r="A10" s="30"/>
      <c r="B10" s="32"/>
      <c r="C10" s="32"/>
      <c r="D10" s="55"/>
      <c r="E10" s="32"/>
      <c r="F10" s="57" t="s">
        <v>8</v>
      </c>
      <c r="G10" s="32"/>
      <c r="H10" s="45"/>
      <c r="I10" s="32"/>
      <c r="J10" s="57"/>
      <c r="K10" s="32"/>
      <c r="L10" s="32"/>
      <c r="M10" s="32"/>
      <c r="N10" s="32"/>
      <c r="O10" s="98">
        <f>D16+D13+D8/2</f>
        <v>105.5</v>
      </c>
      <c r="P10" s="32"/>
      <c r="Q10" s="32"/>
      <c r="R10" s="32"/>
      <c r="S10" s="32"/>
      <c r="T10" s="44"/>
      <c r="U10" s="10"/>
      <c r="V10" s="10"/>
    </row>
    <row r="11" spans="1:32" ht="13" thickBot="1" x14ac:dyDescent="0.3">
      <c r="A11" s="63"/>
      <c r="B11" s="32"/>
      <c r="C11" s="32"/>
      <c r="D11" s="55"/>
      <c r="E11" s="56"/>
      <c r="F11" s="32"/>
      <c r="G11" s="32"/>
      <c r="H11" s="64"/>
      <c r="I11" s="65" t="s">
        <v>9</v>
      </c>
      <c r="J11" s="32"/>
      <c r="K11" s="183"/>
      <c r="L11" s="246">
        <f>MIN(I29,D8+D13+D16)</f>
        <v>110</v>
      </c>
      <c r="M11" s="32"/>
      <c r="N11" s="32"/>
      <c r="O11" s="32"/>
      <c r="P11" s="32"/>
      <c r="Q11" s="32"/>
      <c r="R11" s="32"/>
      <c r="S11" s="32"/>
      <c r="T11" s="44"/>
      <c r="U11" s="10"/>
      <c r="V11" s="10"/>
    </row>
    <row r="12" spans="1:32" ht="12" customHeight="1" x14ac:dyDescent="0.4">
      <c r="A12" s="63"/>
      <c r="B12" s="32"/>
      <c r="C12" s="32"/>
      <c r="D12" s="55"/>
      <c r="E12" s="56"/>
      <c r="F12" s="32"/>
      <c r="G12" s="70"/>
      <c r="H12" s="71"/>
      <c r="I12" s="32"/>
      <c r="J12" s="54"/>
      <c r="K12" s="32"/>
      <c r="L12" s="247"/>
      <c r="M12" s="32"/>
      <c r="N12" s="32"/>
      <c r="O12" s="32" t="s">
        <v>10</v>
      </c>
      <c r="P12" s="32"/>
      <c r="Q12" s="32"/>
      <c r="R12" s="32"/>
      <c r="S12" s="32"/>
      <c r="T12" s="44"/>
      <c r="U12" s="10"/>
      <c r="V12" s="10"/>
    </row>
    <row r="13" spans="1:32" ht="15" customHeight="1" x14ac:dyDescent="0.4">
      <c r="A13" s="63"/>
      <c r="B13" s="32" t="s">
        <v>11</v>
      </c>
      <c r="C13" s="32"/>
      <c r="D13" s="49">
        <v>25</v>
      </c>
      <c r="E13" s="50"/>
      <c r="F13" s="32"/>
      <c r="G13" s="76"/>
      <c r="H13" s="77" t="s">
        <v>12</v>
      </c>
      <c r="I13" s="32"/>
      <c r="J13" s="54"/>
      <c r="K13" s="32"/>
      <c r="L13" s="247"/>
      <c r="M13" s="32"/>
      <c r="N13" s="32"/>
      <c r="O13" s="32"/>
      <c r="P13" s="32"/>
      <c r="Q13" s="32"/>
      <c r="R13" s="32"/>
      <c r="S13" s="32"/>
      <c r="T13" s="44"/>
      <c r="U13" s="10"/>
      <c r="V13" s="10"/>
    </row>
    <row r="14" spans="1:32" ht="9.75" customHeight="1" thickBot="1" x14ac:dyDescent="0.3">
      <c r="A14" s="78"/>
      <c r="B14" s="32"/>
      <c r="C14" s="32"/>
      <c r="D14" s="32"/>
      <c r="E14" s="32"/>
      <c r="F14" s="32"/>
      <c r="G14" s="79"/>
      <c r="H14" s="80"/>
      <c r="I14" s="65" t="s">
        <v>13</v>
      </c>
      <c r="J14" s="54"/>
      <c r="K14" s="32"/>
      <c r="L14" s="32"/>
      <c r="M14" s="32"/>
      <c r="N14" s="32"/>
      <c r="O14" s="32"/>
      <c r="P14" s="32"/>
      <c r="Q14" s="32"/>
      <c r="R14" s="32"/>
      <c r="S14" s="32"/>
      <c r="T14" s="44"/>
      <c r="U14" s="10"/>
      <c r="V14" s="10"/>
    </row>
    <row r="15" spans="1:32" ht="6" customHeight="1" x14ac:dyDescent="0.25">
      <c r="A15" s="63"/>
      <c r="B15" s="32"/>
      <c r="C15" s="4"/>
      <c r="D15" s="85"/>
      <c r="E15" s="86"/>
      <c r="F15" s="4"/>
      <c r="G15" s="87"/>
      <c r="H15" s="88"/>
      <c r="I15" s="32"/>
      <c r="J15" s="54"/>
      <c r="K15" s="32"/>
      <c r="L15" s="32"/>
      <c r="M15" s="32"/>
      <c r="N15" s="98"/>
      <c r="O15" s="163"/>
      <c r="P15" s="32"/>
      <c r="Q15" s="32"/>
      <c r="R15" s="32"/>
      <c r="S15" s="32"/>
      <c r="T15" s="44"/>
      <c r="U15" s="10"/>
      <c r="V15" s="10"/>
    </row>
    <row r="16" spans="1:32" ht="15.5" x14ac:dyDescent="0.4">
      <c r="A16" s="63"/>
      <c r="B16" s="32" t="s">
        <v>14</v>
      </c>
      <c r="C16" s="13"/>
      <c r="D16" s="93">
        <v>18</v>
      </c>
      <c r="E16" s="95" t="s">
        <v>15</v>
      </c>
      <c r="F16" s="13"/>
      <c r="G16" s="13"/>
      <c r="H16" s="242" t="s">
        <v>16</v>
      </c>
      <c r="I16" s="32"/>
      <c r="J16" s="32"/>
      <c r="K16" s="32"/>
      <c r="L16" s="32"/>
      <c r="M16" s="32"/>
      <c r="N16" s="32"/>
      <c r="O16" s="248">
        <f>D16+D13/2</f>
        <v>30.5</v>
      </c>
      <c r="P16" s="32"/>
      <c r="Q16" s="32"/>
      <c r="R16" s="32"/>
      <c r="S16" s="32"/>
      <c r="T16" s="44"/>
      <c r="U16" s="10"/>
      <c r="V16" s="10"/>
    </row>
    <row r="17" spans="1:26" ht="9.75" customHeight="1" thickBot="1" x14ac:dyDescent="0.35">
      <c r="A17" s="99"/>
      <c r="B17" s="100"/>
      <c r="C17" s="101"/>
      <c r="D17" s="102"/>
      <c r="E17" s="103"/>
      <c r="F17" s="101"/>
      <c r="G17" s="104"/>
      <c r="H17" s="80"/>
      <c r="I17" s="105" t="s">
        <v>17</v>
      </c>
      <c r="J17" s="100"/>
      <c r="K17" s="100"/>
      <c r="L17" s="100"/>
      <c r="M17" s="100"/>
      <c r="N17" s="100"/>
      <c r="O17" s="249"/>
      <c r="P17" s="100"/>
      <c r="Q17" s="32"/>
      <c r="R17" s="32"/>
      <c r="S17" s="32"/>
      <c r="T17" s="44"/>
      <c r="U17" s="10"/>
      <c r="V17" s="10"/>
    </row>
    <row r="18" spans="1:26" ht="15.5" x14ac:dyDescent="0.4">
      <c r="A18" s="30"/>
      <c r="B18" s="106" t="s">
        <v>18</v>
      </c>
      <c r="C18" s="57" t="s">
        <v>19</v>
      </c>
      <c r="D18" s="54">
        <f>SUM(D8:D16)</f>
        <v>168</v>
      </c>
      <c r="E18" s="54" t="s">
        <v>20</v>
      </c>
      <c r="F18" s="32"/>
      <c r="G18" s="32"/>
      <c r="H18" s="32"/>
      <c r="I18" s="32"/>
      <c r="J18" s="107"/>
      <c r="K18" s="32"/>
      <c r="L18" s="32"/>
      <c r="M18" s="32"/>
      <c r="N18" s="32"/>
      <c r="O18" s="32"/>
      <c r="P18" s="107" t="s">
        <v>21</v>
      </c>
      <c r="Q18" s="32"/>
      <c r="R18" s="32"/>
      <c r="S18" s="32"/>
      <c r="T18" s="44"/>
      <c r="U18" s="10"/>
      <c r="V18" s="10"/>
    </row>
    <row r="19" spans="1:26" ht="15.5" x14ac:dyDescent="0.4">
      <c r="A19" s="30"/>
      <c r="B19" s="98" t="s">
        <v>22</v>
      </c>
      <c r="C19" s="108">
        <v>120</v>
      </c>
      <c r="D19" s="32" t="s">
        <v>20</v>
      </c>
      <c r="E19" s="32"/>
      <c r="F19" s="32"/>
      <c r="G19" s="32"/>
      <c r="H19" s="49">
        <v>12</v>
      </c>
      <c r="I19" s="250" t="s">
        <v>19</v>
      </c>
      <c r="J19" s="32" t="s">
        <v>23</v>
      </c>
      <c r="K19" s="32"/>
      <c r="L19" s="32"/>
      <c r="M19" s="32"/>
      <c r="N19" s="32"/>
      <c r="O19" s="32"/>
      <c r="P19" s="32"/>
      <c r="Q19" s="32"/>
      <c r="R19" s="32"/>
      <c r="S19" s="32"/>
      <c r="T19" s="44"/>
      <c r="U19" s="10"/>
      <c r="V19" s="10"/>
    </row>
    <row r="20" spans="1:26" ht="15.5" x14ac:dyDescent="0.4">
      <c r="A20" s="30"/>
      <c r="B20" s="98" t="s">
        <v>24</v>
      </c>
      <c r="C20" s="251">
        <f>C19</f>
        <v>120</v>
      </c>
      <c r="D20" s="32" t="s">
        <v>20</v>
      </c>
      <c r="E20" s="32"/>
      <c r="F20" s="32"/>
      <c r="G20" s="32"/>
      <c r="H20" s="49">
        <v>25</v>
      </c>
      <c r="I20" s="250" t="s">
        <v>19</v>
      </c>
      <c r="J20" s="32" t="s">
        <v>25</v>
      </c>
      <c r="K20" s="32"/>
      <c r="L20" s="32"/>
      <c r="M20" s="252" t="s">
        <v>26</v>
      </c>
      <c r="N20" s="110" t="s">
        <v>27</v>
      </c>
      <c r="O20" s="111"/>
      <c r="P20" s="111"/>
      <c r="Q20" s="111"/>
      <c r="R20" s="111"/>
      <c r="S20" s="253"/>
      <c r="T20" s="113" t="s">
        <v>28</v>
      </c>
      <c r="U20" s="10"/>
      <c r="V20" s="10"/>
    </row>
    <row r="21" spans="1:26" ht="15.5" x14ac:dyDescent="0.4">
      <c r="A21" s="30"/>
      <c r="B21" s="32"/>
      <c r="C21" s="32"/>
      <c r="D21" s="32"/>
      <c r="E21" s="32"/>
      <c r="F21" s="32"/>
      <c r="G21" s="32"/>
      <c r="H21" s="121"/>
      <c r="I21" s="250"/>
      <c r="J21" s="32"/>
      <c r="K21" s="149"/>
      <c r="L21" s="56"/>
      <c r="M21" s="114" t="s">
        <v>23</v>
      </c>
      <c r="N21" s="254" t="str">
        <f>IF(H19&lt;10,"ABMESSUNG ZU KLEIN"," ")</f>
        <v xml:space="preserve"> </v>
      </c>
      <c r="O21" s="32"/>
      <c r="P21" s="98"/>
      <c r="Q21" s="56"/>
      <c r="R21" s="32"/>
      <c r="S21" s="32"/>
      <c r="T21" s="120">
        <f>IF(H19&lt;10,0,1)</f>
        <v>1</v>
      </c>
      <c r="U21" s="10"/>
      <c r="V21" s="10"/>
    </row>
    <row r="22" spans="1:26" ht="15.5" x14ac:dyDescent="0.4">
      <c r="A22" s="30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122" t="s">
        <v>25</v>
      </c>
      <c r="N22" s="254" t="str">
        <f>IF(H20&lt;20,"ABMESSUNG ZU KLEIN",(IF((H20&gt;=H19)," ","ABMESSUNG ZU KLEIN ")))</f>
        <v xml:space="preserve"> </v>
      </c>
      <c r="O22" s="32"/>
      <c r="P22" s="98"/>
      <c r="Q22" s="56"/>
      <c r="R22" s="32"/>
      <c r="S22" s="32"/>
      <c r="T22" s="125">
        <f>IF(H20&lt;H19,0,(IF(H20&lt;20,0,1)))</f>
        <v>1</v>
      </c>
      <c r="U22" s="10"/>
      <c r="V22" s="10"/>
    </row>
    <row r="23" spans="1:26" ht="15.5" x14ac:dyDescent="0.4">
      <c r="A23" s="126" t="s">
        <v>29</v>
      </c>
      <c r="B23" s="127"/>
      <c r="C23" s="128"/>
      <c r="D23" s="128"/>
      <c r="E23" s="128"/>
      <c r="F23" s="129" t="s">
        <v>26</v>
      </c>
      <c r="G23" s="130" t="s">
        <v>30</v>
      </c>
      <c r="H23" s="131"/>
      <c r="I23" s="556" t="s">
        <v>31</v>
      </c>
      <c r="J23" s="557"/>
      <c r="K23" s="558"/>
      <c r="L23" s="32"/>
      <c r="M23" s="122" t="s">
        <v>32</v>
      </c>
      <c r="N23" s="254" t="str">
        <f>IF(C19&gt;140,"B1 max. 140 cm"," ")</f>
        <v xml:space="preserve"> </v>
      </c>
      <c r="O23" s="32"/>
      <c r="P23" s="98"/>
      <c r="Q23" s="56"/>
      <c r="R23" s="32"/>
      <c r="S23" s="32"/>
      <c r="T23" s="125">
        <f>IF(C19&gt;140,0,1)</f>
        <v>1</v>
      </c>
      <c r="U23" s="10"/>
      <c r="V23" s="10"/>
    </row>
    <row r="24" spans="1:26" ht="15.5" x14ac:dyDescent="0.4">
      <c r="A24" s="134" t="s">
        <v>33</v>
      </c>
      <c r="B24" s="128"/>
      <c r="C24" s="128"/>
      <c r="D24" s="128"/>
      <c r="E24" s="135"/>
      <c r="F24" s="136">
        <v>27</v>
      </c>
      <c r="G24" s="130" t="s">
        <v>198</v>
      </c>
      <c r="H24" s="130"/>
      <c r="I24" s="547" t="s">
        <v>200</v>
      </c>
      <c r="J24" s="548"/>
      <c r="K24" s="549"/>
      <c r="L24" s="32"/>
      <c r="M24" s="122" t="s">
        <v>5</v>
      </c>
      <c r="N24" s="254" t="str">
        <f>IF(D8&gt;140,"H1 max. 140cm",IF(D8&lt;30,"H1 mind. 30cm"," "))</f>
        <v xml:space="preserve"> </v>
      </c>
      <c r="O24" s="32"/>
      <c r="P24" s="98"/>
      <c r="Q24" s="56"/>
      <c r="R24" s="32"/>
      <c r="S24" s="32"/>
      <c r="T24" s="125">
        <f>IF(D8&gt;140,0,1)</f>
        <v>1</v>
      </c>
      <c r="U24" s="10"/>
      <c r="V24" s="10"/>
    </row>
    <row r="25" spans="1:26" ht="15.5" x14ac:dyDescent="0.4">
      <c r="A25" s="137" t="s">
        <v>196</v>
      </c>
      <c r="B25" s="138"/>
      <c r="C25" s="138"/>
      <c r="D25" s="138"/>
      <c r="E25" s="13"/>
      <c r="F25" s="136">
        <v>0.39</v>
      </c>
      <c r="G25" s="139" t="s">
        <v>197</v>
      </c>
      <c r="H25" s="140"/>
      <c r="I25" s="550" t="s">
        <v>199</v>
      </c>
      <c r="J25" s="551"/>
      <c r="K25" s="552"/>
      <c r="L25" s="32"/>
      <c r="M25" s="122" t="s">
        <v>11</v>
      </c>
      <c r="N25" s="254" t="str">
        <f>IF(D13&lt;31,IF(D13&gt;=0," "," "),"H2 max. 30cm")</f>
        <v xml:space="preserve"> </v>
      </c>
      <c r="O25" s="32"/>
      <c r="P25" s="98"/>
      <c r="Q25" s="56"/>
      <c r="R25" s="32"/>
      <c r="S25" s="32"/>
      <c r="T25" s="125">
        <f>IF(D13&lt;31,IF(D13&gt;=0,1,0),0)</f>
        <v>1</v>
      </c>
      <c r="U25" s="10"/>
      <c r="V25" s="10"/>
    </row>
    <row r="26" spans="1:26" ht="15.5" x14ac:dyDescent="0.4">
      <c r="A26" s="519" t="s">
        <v>34</v>
      </c>
      <c r="B26" s="141"/>
      <c r="C26" s="141"/>
      <c r="D26" s="141"/>
      <c r="E26" s="24"/>
      <c r="F26" s="518">
        <v>2</v>
      </c>
      <c r="G26" s="143"/>
      <c r="H26" s="143"/>
      <c r="I26" s="553" t="s">
        <v>195</v>
      </c>
      <c r="J26" s="554"/>
      <c r="K26" s="555"/>
      <c r="L26" s="32"/>
      <c r="M26" s="122" t="s">
        <v>14</v>
      </c>
      <c r="N26" s="254" t="str">
        <f>IF(D16&lt;31,IF(D16&gt;5," ","H2 min. 6cm"),"H2 max. 30cm")</f>
        <v xml:space="preserve"> </v>
      </c>
      <c r="O26" s="32"/>
      <c r="P26" s="98"/>
      <c r="Q26" s="56"/>
      <c r="R26" s="32"/>
      <c r="S26" s="32"/>
      <c r="T26" s="125">
        <f>IF(D16&lt;31,IF(D16&gt;5,1,0),0)</f>
        <v>1</v>
      </c>
      <c r="U26" s="10"/>
      <c r="V26" s="10"/>
    </row>
    <row r="27" spans="1:26" x14ac:dyDescent="0.25">
      <c r="A27" s="78"/>
      <c r="B27" s="54"/>
      <c r="C27" s="54"/>
      <c r="D27" s="54"/>
      <c r="E27" s="54"/>
      <c r="F27" s="54"/>
      <c r="G27" s="54"/>
      <c r="H27" s="147"/>
      <c r="I27" s="148"/>
      <c r="J27" s="54"/>
      <c r="K27" s="32"/>
      <c r="L27" s="32"/>
      <c r="M27" s="475" t="s">
        <v>230</v>
      </c>
      <c r="N27" s="478" t="str">
        <f>IF(F25&lt;0.5001,IF(F25&gt;0.1899," ","q b,0 min. 0,19 kN/m²"),"q b,0 max. 0,50 kN/m²")</f>
        <v xml:space="preserve"> </v>
      </c>
      <c r="O27" s="32"/>
      <c r="P27" s="98"/>
      <c r="Q27" s="56"/>
      <c r="R27" s="32"/>
      <c r="S27" s="32"/>
      <c r="T27" s="125">
        <f>IF(F25&lt;0.501,IF(F25&gt;0.189,1,0),0)</f>
        <v>1</v>
      </c>
      <c r="U27" s="10"/>
      <c r="V27" s="10"/>
    </row>
    <row r="28" spans="1:26" x14ac:dyDescent="0.25">
      <c r="A28" s="513" t="s">
        <v>267</v>
      </c>
      <c r="B28" s="514"/>
      <c r="C28" s="514"/>
      <c r="D28" s="514"/>
      <c r="E28" s="514"/>
      <c r="F28" s="515">
        <v>0.5</v>
      </c>
      <c r="G28" s="516" t="s">
        <v>225</v>
      </c>
      <c r="H28" s="255"/>
      <c r="I28" s="255" t="s">
        <v>37</v>
      </c>
      <c r="J28" s="256"/>
      <c r="K28" s="32"/>
      <c r="L28" s="32"/>
      <c r="M28" s="146" t="s">
        <v>35</v>
      </c>
      <c r="N28" s="477" t="str">
        <f>IF(F26=2," ",IF(F26=3," ",IF(F26=4," ","nur Geländeform 2, 3 oder 4 möglich")))</f>
        <v xml:space="preserve"> </v>
      </c>
      <c r="O28" s="32"/>
      <c r="P28" s="98"/>
      <c r="Q28" s="56"/>
      <c r="R28" s="32"/>
      <c r="S28" s="32"/>
      <c r="T28" s="125">
        <f>IF(F26=2,1,IF(F26=3,1,IF(F26=4,1,0)))</f>
        <v>1</v>
      </c>
      <c r="U28" s="10"/>
      <c r="V28" s="10"/>
    </row>
    <row r="29" spans="1:26" ht="13.5" thickBot="1" x14ac:dyDescent="0.35">
      <c r="A29" s="257" t="s">
        <v>234</v>
      </c>
      <c r="B29" s="61"/>
      <c r="C29" s="61"/>
      <c r="D29" s="61"/>
      <c r="E29" s="100"/>
      <c r="F29" s="61"/>
      <c r="G29" s="61"/>
      <c r="H29" s="517"/>
      <c r="I29" s="258">
        <v>110</v>
      </c>
      <c r="J29" s="259"/>
      <c r="K29" s="100"/>
      <c r="L29" s="32"/>
      <c r="M29" s="155" t="s">
        <v>38</v>
      </c>
      <c r="N29" s="254" t="str">
        <f>IF(F24&gt;9.9999,IF(F24&lt;35.0001," ","spez. Gewicht max. 35 kN/m³"),"spez.Gewicht mind. 10 kN/m³")</f>
        <v xml:space="preserve"> </v>
      </c>
      <c r="O29" s="32"/>
      <c r="P29" s="98"/>
      <c r="Q29" s="56"/>
      <c r="R29" s="32"/>
      <c r="S29" s="32"/>
      <c r="T29" s="125">
        <f>IF(F24&lt;10,0,IF(F24&gt;35,0,1))</f>
        <v>1</v>
      </c>
      <c r="U29" s="10"/>
      <c r="V29" s="10"/>
    </row>
    <row r="30" spans="1:26" ht="13.5" x14ac:dyDescent="0.35">
      <c r="A30" s="260" t="s">
        <v>208</v>
      </c>
      <c r="B30" s="261"/>
      <c r="C30" s="261"/>
      <c r="D30" s="261"/>
      <c r="E30" s="261"/>
      <c r="F30" s="469"/>
      <c r="G30" s="468" t="s">
        <v>217</v>
      </c>
      <c r="H30" s="465"/>
      <c r="I30" s="472">
        <v>1.5</v>
      </c>
      <c r="J30" s="466"/>
      <c r="K30" s="262"/>
      <c r="L30" s="263"/>
      <c r="M30" s="264"/>
      <c r="N30" s="265" t="s">
        <v>39</v>
      </c>
      <c r="O30" s="265"/>
      <c r="P30" s="265"/>
      <c r="Q30" s="265"/>
      <c r="R30" s="265"/>
      <c r="S30" s="265"/>
      <c r="T30" s="266"/>
      <c r="U30" s="10"/>
      <c r="V30" s="10"/>
    </row>
    <row r="31" spans="1:26" ht="13.5" x14ac:dyDescent="0.35">
      <c r="A31" s="150" t="s">
        <v>207</v>
      </c>
      <c r="B31" s="157">
        <f>IF(F26=2,(E36),(IF(F26=3,(I36),(15))))</f>
        <v>2</v>
      </c>
      <c r="C31" s="267" t="s">
        <v>40</v>
      </c>
      <c r="D31" s="159" t="s">
        <v>202</v>
      </c>
      <c r="E31" s="160">
        <f>(IF(F26=2,(2.1*(2/10)^0.24),IF(F26=3,1.75*(5/10)^0.29,(1.2*(10/10)^0.38))))</f>
        <v>1.4271397204861676</v>
      </c>
      <c r="F31" s="417" t="s">
        <v>204</v>
      </c>
      <c r="G31" s="166"/>
      <c r="H31" s="166"/>
      <c r="I31" s="464">
        <f>F25*E31</f>
        <v>0.55658449098960538</v>
      </c>
      <c r="J31" s="284" t="s">
        <v>203</v>
      </c>
      <c r="K31" s="268"/>
      <c r="L31" s="30"/>
      <c r="M31" s="32"/>
      <c r="N31" s="32"/>
      <c r="O31" s="32"/>
      <c r="P31" s="32"/>
      <c r="Q31" s="32"/>
      <c r="R31" s="32"/>
      <c r="S31" s="32"/>
      <c r="T31" s="44"/>
      <c r="U31" s="10"/>
      <c r="V31" s="10"/>
      <c r="W31" s="2"/>
      <c r="X31" s="2"/>
      <c r="Y31" s="2"/>
      <c r="Z31" s="2"/>
    </row>
    <row r="32" spans="1:26" ht="13.5" x14ac:dyDescent="0.35">
      <c r="A32" s="150" t="s">
        <v>205</v>
      </c>
      <c r="B32" s="32"/>
      <c r="C32" s="32"/>
      <c r="D32" s="237">
        <v>2.2999999999999998</v>
      </c>
      <c r="E32" s="468" t="s">
        <v>215</v>
      </c>
      <c r="F32" s="473"/>
      <c r="G32" s="32"/>
      <c r="H32" s="32"/>
      <c r="I32" s="269">
        <f>I31*D32*1.5</f>
        <v>1.9202164939141384</v>
      </c>
      <c r="J32" s="467" t="s">
        <v>203</v>
      </c>
      <c r="K32" s="268"/>
      <c r="L32" s="270"/>
      <c r="M32" s="32"/>
      <c r="N32" s="32"/>
      <c r="O32" s="32"/>
      <c r="P32" s="32"/>
      <c r="Q32" s="32"/>
      <c r="R32" s="32"/>
      <c r="S32" s="32"/>
      <c r="T32" s="44"/>
      <c r="U32" s="10"/>
      <c r="V32" s="10"/>
      <c r="W32" s="2"/>
      <c r="X32" s="2"/>
      <c r="Y32" s="2"/>
      <c r="Z32" s="2"/>
    </row>
    <row r="33" spans="1:26" ht="12.75" customHeight="1" x14ac:dyDescent="0.35">
      <c r="A33" s="78" t="s">
        <v>206</v>
      </c>
      <c r="B33" s="462"/>
      <c r="C33" s="461"/>
      <c r="D33" s="463">
        <v>1.4</v>
      </c>
      <c r="E33" s="151" t="s">
        <v>216</v>
      </c>
      <c r="G33" s="161"/>
      <c r="H33" s="161"/>
      <c r="I33" s="162">
        <f>I31*D33*1.5</f>
        <v>1.1688274310781712</v>
      </c>
      <c r="J33" s="154" t="s">
        <v>203</v>
      </c>
      <c r="K33" s="271" t="s">
        <v>41</v>
      </c>
      <c r="L33" s="270"/>
      <c r="M33" s="32"/>
      <c r="N33" s="32"/>
      <c r="O33" s="32"/>
      <c r="P33" s="32"/>
      <c r="Q33" s="32"/>
      <c r="R33" s="32"/>
      <c r="S33" s="32"/>
      <c r="T33" s="44"/>
      <c r="U33" s="10"/>
      <c r="V33" s="10"/>
      <c r="W33" s="2"/>
      <c r="Y33" s="2"/>
      <c r="Z33" s="2"/>
    </row>
    <row r="34" spans="1:26" x14ac:dyDescent="0.25">
      <c r="A34" s="272" t="s">
        <v>282</v>
      </c>
      <c r="B34" s="273"/>
      <c r="C34" s="273"/>
      <c r="D34" s="273"/>
      <c r="E34" s="273"/>
      <c r="F34" s="273"/>
      <c r="G34" s="274"/>
      <c r="H34" s="274"/>
      <c r="I34" s="274"/>
      <c r="J34" s="274"/>
      <c r="K34" s="275"/>
      <c r="L34" s="270"/>
      <c r="M34" s="32"/>
      <c r="N34" s="32"/>
      <c r="O34" s="32"/>
      <c r="P34" s="32"/>
      <c r="Q34" s="32"/>
      <c r="R34" s="32"/>
      <c r="S34" s="32"/>
      <c r="T34" s="44"/>
      <c r="U34" s="10"/>
      <c r="V34" s="10"/>
      <c r="Y34" s="2"/>
      <c r="Z34" s="2"/>
    </row>
    <row r="35" spans="1:26" ht="13.5" x14ac:dyDescent="0.35">
      <c r="A35" s="276" t="s">
        <v>281</v>
      </c>
      <c r="B35" s="149"/>
      <c r="C35" s="149"/>
      <c r="D35" s="149"/>
      <c r="E35" s="149"/>
      <c r="F35" s="149"/>
      <c r="G35" s="277"/>
      <c r="H35" s="277"/>
      <c r="I35" s="277"/>
      <c r="J35" s="277"/>
      <c r="K35" s="278"/>
      <c r="L35" s="270"/>
      <c r="M35" s="32"/>
      <c r="N35" s="32"/>
      <c r="O35" s="32"/>
      <c r="P35" s="32"/>
      <c r="Q35" s="32"/>
      <c r="R35" s="32"/>
      <c r="S35" s="32"/>
      <c r="T35" s="44"/>
      <c r="U35" s="10"/>
      <c r="V35" s="10"/>
      <c r="Y35" s="2"/>
      <c r="Z35" s="2"/>
    </row>
    <row r="36" spans="1:26" x14ac:dyDescent="0.25">
      <c r="A36" s="276" t="s">
        <v>201</v>
      </c>
      <c r="B36" s="149"/>
      <c r="C36" s="149"/>
      <c r="D36" s="149"/>
      <c r="E36" s="279">
        <v>2</v>
      </c>
      <c r="F36" s="149" t="s">
        <v>209</v>
      </c>
      <c r="G36" s="277"/>
      <c r="H36" s="277"/>
      <c r="I36" s="280">
        <v>5</v>
      </c>
      <c r="J36" s="149" t="s">
        <v>212</v>
      </c>
      <c r="K36" s="124"/>
      <c r="L36" s="270"/>
      <c r="M36" s="32"/>
      <c r="N36" s="32"/>
      <c r="O36" s="32"/>
      <c r="P36" s="32"/>
      <c r="Q36" s="32"/>
      <c r="R36" s="32"/>
      <c r="S36" s="32"/>
      <c r="T36" s="44"/>
      <c r="U36" s="10"/>
      <c r="V36" s="10"/>
    </row>
    <row r="37" spans="1:26" ht="13" thickBot="1" x14ac:dyDescent="0.3">
      <c r="A37" s="276" t="s">
        <v>210</v>
      </c>
      <c r="B37" s="149"/>
      <c r="C37" s="280">
        <v>10</v>
      </c>
      <c r="D37" s="149" t="s">
        <v>211</v>
      </c>
      <c r="E37" s="149"/>
      <c r="F37" s="149"/>
      <c r="G37" s="277"/>
      <c r="H37" s="277"/>
      <c r="I37" s="277"/>
      <c r="J37" s="149"/>
      <c r="K37" s="203"/>
      <c r="L37" s="281" t="s">
        <v>42</v>
      </c>
      <c r="M37" s="100"/>
      <c r="N37" s="100"/>
      <c r="O37" s="100"/>
      <c r="P37" s="100"/>
      <c r="Q37" s="100"/>
      <c r="R37" s="100"/>
      <c r="S37" s="100"/>
      <c r="T37" s="62"/>
      <c r="U37" s="10"/>
      <c r="V37" s="10"/>
    </row>
    <row r="38" spans="1:26" ht="16" thickBot="1" x14ac:dyDescent="0.4">
      <c r="A38" s="282"/>
      <c r="B38" s="283"/>
      <c r="C38" s="283"/>
      <c r="D38" s="283"/>
      <c r="E38" s="283"/>
      <c r="F38" s="283"/>
      <c r="G38" s="217"/>
      <c r="H38" s="217"/>
      <c r="I38" s="217"/>
      <c r="J38" s="217"/>
      <c r="K38" s="284"/>
      <c r="L38" s="46" t="s">
        <v>43</v>
      </c>
      <c r="M38" s="47"/>
      <c r="N38" s="47"/>
      <c r="O38" s="47"/>
      <c r="P38" s="47"/>
      <c r="Q38" s="47"/>
      <c r="R38" s="47"/>
      <c r="S38" s="47"/>
      <c r="T38" s="48"/>
      <c r="U38" s="10"/>
      <c r="V38" s="10"/>
    </row>
    <row r="39" spans="1:26" x14ac:dyDescent="0.25">
      <c r="A39" s="470" t="s">
        <v>213</v>
      </c>
      <c r="B39" s="285"/>
      <c r="C39" s="286"/>
      <c r="D39" s="286"/>
      <c r="E39" s="286"/>
      <c r="F39" s="286"/>
      <c r="G39" s="286"/>
      <c r="H39" s="287"/>
      <c r="I39" s="471" t="s">
        <v>214</v>
      </c>
      <c r="J39" s="286"/>
      <c r="K39" s="287"/>
      <c r="L39" s="288" t="s">
        <v>44</v>
      </c>
      <c r="M39" s="289"/>
      <c r="N39" s="290" t="s">
        <v>45</v>
      </c>
      <c r="O39" s="138"/>
      <c r="P39" s="138"/>
      <c r="Q39" s="138"/>
      <c r="R39" s="138"/>
      <c r="S39" s="13"/>
      <c r="T39" s="291"/>
      <c r="U39" s="10"/>
      <c r="V39" s="10"/>
    </row>
    <row r="40" spans="1:26" ht="13.5" x14ac:dyDescent="0.35">
      <c r="A40" s="292" t="s">
        <v>46</v>
      </c>
      <c r="B40" s="180" t="s">
        <v>19</v>
      </c>
      <c r="C40" s="32"/>
      <c r="D40" s="293">
        <f>(F24/1000000)*H19*D8*C19</f>
        <v>4.8599999999999994</v>
      </c>
      <c r="E40" s="189" t="s">
        <v>47</v>
      </c>
      <c r="F40" s="116"/>
      <c r="G40" s="416">
        <f>D40</f>
        <v>4.8599999999999994</v>
      </c>
      <c r="H40" s="178"/>
      <c r="I40" s="189" t="s">
        <v>48</v>
      </c>
      <c r="J40" s="190" t="s">
        <v>19</v>
      </c>
      <c r="K40" s="498">
        <f>IF(C19&gt;0.3*D18,((I32*0.3*D18*D8+I33*(C19-0.3*D18)*D8))/100^2,I32*C19*D8/100^2)</f>
        <v>2.2266162562039158</v>
      </c>
      <c r="L40" s="288" t="s">
        <v>49</v>
      </c>
      <c r="M40" s="289"/>
      <c r="N40" s="290" t="s">
        <v>50</v>
      </c>
      <c r="O40" s="138"/>
      <c r="P40" s="138"/>
      <c r="Q40" s="138"/>
      <c r="R40" s="138"/>
      <c r="S40" s="13"/>
      <c r="T40" s="291"/>
      <c r="U40" s="10"/>
      <c r="V40" s="10"/>
      <c r="Y40" s="2"/>
      <c r="Z40" s="2"/>
    </row>
    <row r="41" spans="1:26" ht="14" thickBot="1" x14ac:dyDescent="0.4">
      <c r="A41" s="257" t="s">
        <v>51</v>
      </c>
      <c r="B41" s="294" t="s">
        <v>19</v>
      </c>
      <c r="C41" s="100"/>
      <c r="D41" s="295">
        <f>(F24/1000000)*H20*D13*C20</f>
        <v>2.0249999999999999</v>
      </c>
      <c r="E41" s="417" t="s">
        <v>52</v>
      </c>
      <c r="F41" s="166"/>
      <c r="G41" s="418">
        <f>D41+D40</f>
        <v>6.8849999999999998</v>
      </c>
      <c r="H41" s="419"/>
      <c r="I41" s="60" t="s">
        <v>53</v>
      </c>
      <c r="J41" s="294" t="s">
        <v>19</v>
      </c>
      <c r="K41" s="497">
        <f>IF(C19&gt;0.3*D18,((I32*0.3*D18*D13+I33*(C19-0.3*D18)*D13))/100^2,I32*C19*D13/100^2)</f>
        <v>0.44532325124078326</v>
      </c>
      <c r="L41" s="296" t="s">
        <v>54</v>
      </c>
      <c r="M41" s="297"/>
      <c r="N41" s="298" t="s">
        <v>55</v>
      </c>
      <c r="O41" s="299"/>
      <c r="P41" s="299"/>
      <c r="Q41" s="299"/>
      <c r="R41" s="299"/>
      <c r="S41" s="13"/>
      <c r="T41" s="291"/>
      <c r="U41" s="10"/>
      <c r="V41" s="10"/>
    </row>
    <row r="42" spans="1:26" ht="15.5" x14ac:dyDescent="0.35">
      <c r="A42" s="300" t="s">
        <v>56</v>
      </c>
      <c r="B42" s="301"/>
      <c r="C42" s="301"/>
      <c r="D42" s="302" t="s">
        <v>57</v>
      </c>
      <c r="E42" s="303"/>
      <c r="F42" s="565" t="s">
        <v>58</v>
      </c>
      <c r="G42" s="566"/>
      <c r="H42" s="565" t="s">
        <v>250</v>
      </c>
      <c r="I42" s="566"/>
      <c r="J42" s="521" t="s">
        <v>271</v>
      </c>
      <c r="K42" s="9"/>
      <c r="L42" s="304" t="s">
        <v>59</v>
      </c>
      <c r="M42" s="8"/>
      <c r="N42" s="8"/>
      <c r="O42" s="8"/>
      <c r="P42" s="8"/>
      <c r="Q42" s="8"/>
      <c r="R42" s="8"/>
      <c r="S42" s="8"/>
      <c r="T42" s="9"/>
      <c r="U42" s="10"/>
      <c r="V42" s="10"/>
    </row>
    <row r="43" spans="1:26" ht="13" x14ac:dyDescent="0.3">
      <c r="A43" s="305" t="s">
        <v>60</v>
      </c>
      <c r="B43" s="306"/>
      <c r="C43" s="306"/>
      <c r="D43" s="307" t="s">
        <v>61</v>
      </c>
      <c r="E43" s="308"/>
      <c r="F43" s="569"/>
      <c r="G43" s="570"/>
      <c r="H43" s="567" t="s">
        <v>270</v>
      </c>
      <c r="I43" s="568"/>
      <c r="J43" s="309" t="s">
        <v>268</v>
      </c>
      <c r="K43" s="310"/>
      <c r="L43" s="311" t="s">
        <v>62</v>
      </c>
      <c r="M43" s="312">
        <v>1</v>
      </c>
      <c r="N43" s="313">
        <v>1</v>
      </c>
      <c r="O43" s="313">
        <v>1</v>
      </c>
      <c r="P43" s="313">
        <v>1</v>
      </c>
      <c r="Q43" s="312">
        <v>2</v>
      </c>
      <c r="R43" s="313">
        <v>2</v>
      </c>
      <c r="S43" s="313">
        <v>2</v>
      </c>
      <c r="T43" s="314">
        <v>2</v>
      </c>
      <c r="U43" s="10"/>
      <c r="V43" s="10"/>
    </row>
    <row r="44" spans="1:26" ht="13.5" thickBot="1" x14ac:dyDescent="0.35">
      <c r="A44" s="315" t="s">
        <v>63</v>
      </c>
      <c r="B44" s="316"/>
      <c r="C44" s="316"/>
      <c r="D44" s="317" t="s">
        <v>64</v>
      </c>
      <c r="E44" s="318"/>
      <c r="F44" s="571" t="s">
        <v>227</v>
      </c>
      <c r="G44" s="572"/>
      <c r="H44" s="571" t="s">
        <v>227</v>
      </c>
      <c r="I44" s="572"/>
      <c r="J44" s="319" t="s">
        <v>64</v>
      </c>
      <c r="K44" s="320" t="s">
        <v>65</v>
      </c>
      <c r="L44" s="321" t="s">
        <v>66</v>
      </c>
      <c r="M44" s="322">
        <v>12</v>
      </c>
      <c r="N44" s="323">
        <v>14</v>
      </c>
      <c r="O44" s="323">
        <v>16</v>
      </c>
      <c r="P44" s="323">
        <v>20</v>
      </c>
      <c r="Q44" s="322">
        <v>12</v>
      </c>
      <c r="R44" s="323">
        <v>14</v>
      </c>
      <c r="S44" s="323">
        <v>16</v>
      </c>
      <c r="T44" s="324">
        <v>20</v>
      </c>
      <c r="U44" s="10"/>
      <c r="V44" s="10"/>
    </row>
    <row r="45" spans="1:26" ht="13" x14ac:dyDescent="0.3">
      <c r="A45" s="447"/>
      <c r="B45" s="432"/>
      <c r="C45" s="439"/>
      <c r="D45" s="433"/>
      <c r="E45" s="434"/>
      <c r="F45" s="491"/>
      <c r="G45" s="326"/>
      <c r="H45" s="493"/>
      <c r="I45" s="492"/>
      <c r="J45" s="438"/>
      <c r="K45" s="436"/>
      <c r="L45" s="328" t="s">
        <v>67</v>
      </c>
      <c r="M45" s="329">
        <f t="shared" ref="M45:T45" si="0">3.1416*M44/10</f>
        <v>3.7699199999999999</v>
      </c>
      <c r="N45" s="330">
        <f t="shared" si="0"/>
        <v>4.3982399999999995</v>
      </c>
      <c r="O45" s="330">
        <f t="shared" si="0"/>
        <v>5.0265599999999999</v>
      </c>
      <c r="P45" s="330">
        <f t="shared" si="0"/>
        <v>6.2831999999999999</v>
      </c>
      <c r="Q45" s="329">
        <f t="shared" si="0"/>
        <v>3.7699199999999999</v>
      </c>
      <c r="R45" s="330">
        <f t="shared" si="0"/>
        <v>4.3982399999999995</v>
      </c>
      <c r="S45" s="330">
        <f t="shared" si="0"/>
        <v>5.0265599999999999</v>
      </c>
      <c r="T45" s="331">
        <f t="shared" si="0"/>
        <v>6.2831999999999999</v>
      </c>
      <c r="U45" s="10"/>
      <c r="V45" s="10"/>
    </row>
    <row r="46" spans="1:26" ht="15.5" x14ac:dyDescent="0.4">
      <c r="A46" s="332" t="s">
        <v>68</v>
      </c>
      <c r="B46" s="437"/>
      <c r="C46" s="479" t="s">
        <v>237</v>
      </c>
      <c r="D46" s="325">
        <v>0</v>
      </c>
      <c r="E46" s="434"/>
      <c r="F46" s="561">
        <f>F48*D8/200</f>
        <v>1.3916351601274473</v>
      </c>
      <c r="G46" s="562"/>
      <c r="H46" s="561">
        <f>H48*(L11-D13-D16)/100</f>
        <v>0.60299999999999998</v>
      </c>
      <c r="I46" s="562"/>
      <c r="J46" s="325">
        <f>MAX(F46,H46)</f>
        <v>1.3916351601274473</v>
      </c>
      <c r="K46" s="435" t="s">
        <v>228</v>
      </c>
      <c r="L46" s="335" t="s">
        <v>245</v>
      </c>
      <c r="M46" s="336">
        <f t="shared" ref="M46:T46" si="1">$L49*M45*M43</f>
        <v>0.60318720000000003</v>
      </c>
      <c r="N46" s="337">
        <f t="shared" si="1"/>
        <v>0.70371839999999997</v>
      </c>
      <c r="O46" s="337">
        <f t="shared" si="1"/>
        <v>0.80424960000000001</v>
      </c>
      <c r="P46" s="337">
        <f t="shared" si="1"/>
        <v>1.005312</v>
      </c>
      <c r="Q46" s="336">
        <f t="shared" si="1"/>
        <v>1.2063744000000001</v>
      </c>
      <c r="R46" s="337">
        <f t="shared" si="1"/>
        <v>1.4074367999999999</v>
      </c>
      <c r="S46" s="337">
        <f t="shared" si="1"/>
        <v>1.6084992</v>
      </c>
      <c r="T46" s="338">
        <f t="shared" si="1"/>
        <v>2.010624</v>
      </c>
      <c r="U46" s="10"/>
      <c r="V46" s="10"/>
    </row>
    <row r="47" spans="1:26" ht="15.5" x14ac:dyDescent="0.4">
      <c r="A47" s="483" t="s">
        <v>241</v>
      </c>
      <c r="B47" s="333"/>
      <c r="C47" s="480" t="s">
        <v>238</v>
      </c>
      <c r="D47" s="325">
        <f>D40</f>
        <v>4.8599999999999994</v>
      </c>
      <c r="E47" s="326"/>
      <c r="F47" s="561">
        <v>0</v>
      </c>
      <c r="G47" s="562"/>
      <c r="H47" s="561">
        <v>0</v>
      </c>
      <c r="I47" s="562"/>
      <c r="J47" s="325">
        <f>MAX(F47,H47)</f>
        <v>0</v>
      </c>
      <c r="K47" s="334" t="s">
        <v>227</v>
      </c>
      <c r="L47" s="495" t="s">
        <v>252</v>
      </c>
      <c r="M47" s="449"/>
      <c r="N47" s="448"/>
      <c r="O47" s="448"/>
      <c r="P47" s="448"/>
      <c r="Q47" s="448"/>
      <c r="R47" s="450">
        <f>0.16</f>
        <v>0.16</v>
      </c>
      <c r="S47" s="494" t="s">
        <v>251</v>
      </c>
      <c r="T47" s="440"/>
      <c r="U47" s="10"/>
      <c r="V47" s="10"/>
    </row>
    <row r="48" spans="1:26" ht="15.5" x14ac:dyDescent="0.4">
      <c r="A48" s="500" t="s">
        <v>217</v>
      </c>
      <c r="B48" s="482">
        <v>1.5</v>
      </c>
      <c r="C48" s="481" t="s">
        <v>239</v>
      </c>
      <c r="D48" s="339">
        <v>0</v>
      </c>
      <c r="E48" s="340"/>
      <c r="F48" s="563">
        <f>K40</f>
        <v>2.2266162562039158</v>
      </c>
      <c r="G48" s="564"/>
      <c r="H48" s="563">
        <f>L6*1.5</f>
        <v>0.89999999999999991</v>
      </c>
      <c r="I48" s="564"/>
      <c r="J48" s="341">
        <f>MAX(F48,H48)</f>
        <v>2.2266162562039158</v>
      </c>
      <c r="K48" s="342" t="s">
        <v>227</v>
      </c>
      <c r="L48" s="343" t="s">
        <v>70</v>
      </c>
      <c r="M48" s="344"/>
      <c r="N48" s="344"/>
      <c r="O48" s="344"/>
      <c r="P48" s="344"/>
      <c r="Q48" s="344"/>
      <c r="R48" s="344"/>
      <c r="S48" s="344"/>
      <c r="T48" s="345"/>
      <c r="U48" s="10"/>
      <c r="V48" s="10"/>
    </row>
    <row r="49" spans="1:22" ht="13.5" x14ac:dyDescent="0.35">
      <c r="A49" s="512" t="s">
        <v>265</v>
      </c>
      <c r="B49" s="346"/>
      <c r="C49" s="346"/>
      <c r="D49" s="347">
        <f>D40*H19/200</f>
        <v>0.29159999999999997</v>
      </c>
      <c r="E49" s="348" t="s">
        <v>71</v>
      </c>
      <c r="F49" s="349" t="s">
        <v>240</v>
      </c>
      <c r="G49" s="350"/>
      <c r="H49" s="350"/>
      <c r="I49" s="349"/>
      <c r="J49" s="327">
        <f>J46-D49</f>
        <v>1.1000351601274474</v>
      </c>
      <c r="K49" s="351" t="s">
        <v>228</v>
      </c>
      <c r="L49" s="352">
        <f>R47</f>
        <v>0.16</v>
      </c>
      <c r="M49" s="353" t="str">
        <f t="shared" ref="M49:T49" si="2">CONCATENATE(M$43," ",$L$44," ",M$44)</f>
        <v>1 f 12</v>
      </c>
      <c r="N49" s="354" t="str">
        <f t="shared" si="2"/>
        <v>1 f 14</v>
      </c>
      <c r="O49" s="354" t="str">
        <f t="shared" si="2"/>
        <v>1 f 16</v>
      </c>
      <c r="P49" s="354" t="str">
        <f t="shared" si="2"/>
        <v>1 f 20</v>
      </c>
      <c r="Q49" s="353" t="str">
        <f t="shared" si="2"/>
        <v>2 f 12</v>
      </c>
      <c r="R49" s="354" t="str">
        <f t="shared" si="2"/>
        <v>2 f 14</v>
      </c>
      <c r="S49" s="354" t="str">
        <f t="shared" si="2"/>
        <v>2 f 16</v>
      </c>
      <c r="T49" s="355" t="str">
        <f t="shared" si="2"/>
        <v>2 f 20</v>
      </c>
      <c r="U49" s="10"/>
      <c r="V49" s="10"/>
    </row>
    <row r="50" spans="1:22" ht="16" customHeight="1" thickBot="1" x14ac:dyDescent="0.4">
      <c r="A50" s="356" t="s">
        <v>72</v>
      </c>
      <c r="B50" s="357"/>
      <c r="C50" s="358">
        <f>J46*100/H19/D47</f>
        <v>2.3862056929482982</v>
      </c>
      <c r="D50" s="359" t="str">
        <f>IF(C50&lt;0.167,"&lt; 0,167","&gt; 0,167")</f>
        <v>&gt; 0,167</v>
      </c>
      <c r="E50" s="360" t="s">
        <v>73</v>
      </c>
      <c r="F50" s="361"/>
      <c r="G50" s="362" t="s">
        <v>74</v>
      </c>
      <c r="H50" s="361"/>
      <c r="I50" s="363"/>
      <c r="J50" s="489">
        <f>J49*200/H19/(MIN(T21,T22,T23,T24,T25,T26,T27,T28,T29))</f>
        <v>18.333919335457455</v>
      </c>
      <c r="K50" s="364" t="s">
        <v>227</v>
      </c>
      <c r="L50" s="365">
        <f>J50</f>
        <v>18.333919335457455</v>
      </c>
      <c r="M50" s="74" t="str">
        <f t="shared" ref="M50:T50" si="3">IF($L50&lt;0,"-",IF($L50/M$46&lt;24,IF($L50/M$46&gt;6,10*ROUNDUP(2*$L50/M$46+0.5,0),125),"N"))</f>
        <v>N</v>
      </c>
      <c r="N50" s="73" t="str">
        <f t="shared" si="3"/>
        <v>N</v>
      </c>
      <c r="O50" s="73">
        <f t="shared" si="3"/>
        <v>470</v>
      </c>
      <c r="P50" s="73">
        <f t="shared" si="3"/>
        <v>370</v>
      </c>
      <c r="Q50" s="74">
        <f t="shared" si="3"/>
        <v>310</v>
      </c>
      <c r="R50" s="73">
        <f t="shared" si="3"/>
        <v>270</v>
      </c>
      <c r="S50" s="73">
        <f t="shared" si="3"/>
        <v>240</v>
      </c>
      <c r="T50" s="75">
        <f t="shared" si="3"/>
        <v>190</v>
      </c>
      <c r="U50" s="10"/>
      <c r="V50" s="10"/>
    </row>
    <row r="51" spans="1:22" ht="16" customHeight="1" x14ac:dyDescent="0.4">
      <c r="A51" s="366" t="s">
        <v>75</v>
      </c>
      <c r="B51" s="367"/>
      <c r="C51" s="485" t="s">
        <v>242</v>
      </c>
      <c r="D51" s="368">
        <f>IF(D13&gt;0,D40*(H20-H19)/200,0)</f>
        <v>0.31589999999999996</v>
      </c>
      <c r="E51" s="369"/>
      <c r="F51" s="559">
        <f>(K40*(D13+D8/2)+K41*D13/2)/100</f>
        <v>2.0039546305835243</v>
      </c>
      <c r="G51" s="560"/>
      <c r="H51" s="577">
        <f>H48*(L11-D16)/100</f>
        <v>0.82799999999999996</v>
      </c>
      <c r="I51" s="560"/>
      <c r="J51" s="370">
        <f>MAX(F51,H51)</f>
        <v>2.0039546305835243</v>
      </c>
      <c r="K51" s="371" t="s">
        <v>228</v>
      </c>
      <c r="L51" s="372" t="s">
        <v>76</v>
      </c>
      <c r="M51" s="373"/>
      <c r="N51" s="373"/>
      <c r="O51" s="373"/>
      <c r="P51" s="373"/>
      <c r="Q51" s="373"/>
      <c r="R51" s="373"/>
      <c r="S51" s="373"/>
      <c r="T51" s="374"/>
      <c r="U51" s="10"/>
      <c r="V51" s="10"/>
    </row>
    <row r="52" spans="1:22" ht="16" customHeight="1" x14ac:dyDescent="0.4">
      <c r="A52" s="484" t="s">
        <v>241</v>
      </c>
      <c r="B52" s="375"/>
      <c r="C52" s="486" t="s">
        <v>243</v>
      </c>
      <c r="D52" s="376">
        <f>D40+D41</f>
        <v>6.8849999999999998</v>
      </c>
      <c r="E52" s="377"/>
      <c r="F52" s="573">
        <v>0</v>
      </c>
      <c r="G52" s="574"/>
      <c r="H52" s="578">
        <v>0</v>
      </c>
      <c r="I52" s="574"/>
      <c r="J52" s="378">
        <f>MAX(F52,H52)</f>
        <v>0</v>
      </c>
      <c r="K52" s="379" t="s">
        <v>227</v>
      </c>
      <c r="L52" s="380" t="s">
        <v>77</v>
      </c>
      <c r="M52" s="143"/>
      <c r="N52" s="143"/>
      <c r="O52" s="143"/>
      <c r="P52" s="143"/>
      <c r="Q52" s="143"/>
      <c r="R52" s="143"/>
      <c r="S52" s="143"/>
      <c r="T52" s="381"/>
      <c r="U52" s="10"/>
      <c r="V52" s="10"/>
    </row>
    <row r="53" spans="1:22" ht="16" customHeight="1" x14ac:dyDescent="0.4">
      <c r="A53" s="484" t="s">
        <v>217</v>
      </c>
      <c r="B53" s="488">
        <v>1.5</v>
      </c>
      <c r="C53" s="487" t="s">
        <v>244</v>
      </c>
      <c r="D53" s="382">
        <v>0</v>
      </c>
      <c r="E53" s="383"/>
      <c r="F53" s="575">
        <f>K40+K41</f>
        <v>2.6719395074446992</v>
      </c>
      <c r="G53" s="576"/>
      <c r="H53" s="579">
        <f>L6*1.5</f>
        <v>0.89999999999999991</v>
      </c>
      <c r="I53" s="576"/>
      <c r="J53" s="384">
        <f>MAX(F53,H53)</f>
        <v>2.6719395074446992</v>
      </c>
      <c r="K53" s="385" t="s">
        <v>227</v>
      </c>
      <c r="L53" s="386" t="s">
        <v>78</v>
      </c>
      <c r="M53" s="387"/>
      <c r="N53" s="387"/>
      <c r="O53" s="387"/>
      <c r="P53" s="387"/>
      <c r="Q53" s="387"/>
      <c r="R53" s="387"/>
      <c r="S53" s="387"/>
      <c r="T53" s="388"/>
      <c r="U53" s="10"/>
      <c r="V53" s="10"/>
    </row>
    <row r="54" spans="1:22" ht="16" customHeight="1" x14ac:dyDescent="0.35">
      <c r="A54" s="389" t="s">
        <v>266</v>
      </c>
      <c r="B54" s="390"/>
      <c r="C54" s="390"/>
      <c r="D54" s="391"/>
      <c r="E54" s="392" t="s">
        <v>79</v>
      </c>
      <c r="F54" s="393"/>
      <c r="G54" s="394" t="s">
        <v>240</v>
      </c>
      <c r="H54" s="395"/>
      <c r="I54" s="396"/>
      <c r="J54" s="370">
        <f>J51-D55</f>
        <v>1.4592296305835244</v>
      </c>
      <c r="K54" s="371" t="s">
        <v>228</v>
      </c>
      <c r="L54" s="496">
        <f>R47</f>
        <v>0.16</v>
      </c>
      <c r="M54" s="397" t="str">
        <f t="shared" ref="M54:T54" si="4">CONCATENATE(M$43," ",$L$44," ",M$44)</f>
        <v>1 f 12</v>
      </c>
      <c r="N54" s="397" t="str">
        <f t="shared" si="4"/>
        <v>1 f 14</v>
      </c>
      <c r="O54" s="397" t="str">
        <f t="shared" si="4"/>
        <v>1 f 16</v>
      </c>
      <c r="P54" s="397" t="str">
        <f t="shared" si="4"/>
        <v>1 f 20</v>
      </c>
      <c r="Q54" s="398" t="str">
        <f t="shared" si="4"/>
        <v>2 f 12</v>
      </c>
      <c r="R54" s="399" t="str">
        <f t="shared" si="4"/>
        <v>2 f 14</v>
      </c>
      <c r="S54" s="399" t="str">
        <f t="shared" si="4"/>
        <v>2 f 16</v>
      </c>
      <c r="T54" s="400" t="str">
        <f t="shared" si="4"/>
        <v>2 f 20</v>
      </c>
      <c r="U54" s="10"/>
      <c r="V54" s="10"/>
    </row>
    <row r="55" spans="1:22" ht="16" customHeight="1" thickBot="1" x14ac:dyDescent="0.4">
      <c r="A55" s="401" t="s">
        <v>80</v>
      </c>
      <c r="B55" s="402"/>
      <c r="C55" s="403">
        <f>IF((D13&gt;0),J51/D52*100/H20,C50)</f>
        <v>1.1642437940935508</v>
      </c>
      <c r="D55" s="404">
        <f>D40*H19/200+D41*H20/200</f>
        <v>0.5447249999999999</v>
      </c>
      <c r="E55" s="405" t="s">
        <v>73</v>
      </c>
      <c r="F55" s="406"/>
      <c r="G55" s="407" t="s">
        <v>81</v>
      </c>
      <c r="H55" s="408"/>
      <c r="I55" s="409"/>
      <c r="J55" s="410">
        <f>IF((D13&gt;0),J54/(H20/200)/(MIN(T21,T22,T23,T24,T25,T26,T27,T28,T29)),J50)</f>
        <v>11.673837044668195</v>
      </c>
      <c r="K55" s="411" t="s">
        <v>227</v>
      </c>
      <c r="L55" s="412">
        <f>J55</f>
        <v>11.673837044668195</v>
      </c>
      <c r="M55" s="413">
        <f t="shared" ref="M55:T55" si="5">IF($L55&lt;0,"-",IF($L55/M$46&lt;24,IF($L55/M$46&gt;6,10*ROUNDUP(2*$L55/M$46+0.5,0),125),"N"))</f>
        <v>400</v>
      </c>
      <c r="N55" s="414">
        <f t="shared" si="5"/>
        <v>340</v>
      </c>
      <c r="O55" s="414">
        <f t="shared" si="5"/>
        <v>300</v>
      </c>
      <c r="P55" s="414">
        <f t="shared" si="5"/>
        <v>240</v>
      </c>
      <c r="Q55" s="413">
        <f t="shared" si="5"/>
        <v>200</v>
      </c>
      <c r="R55" s="414">
        <f t="shared" si="5"/>
        <v>180</v>
      </c>
      <c r="S55" s="414">
        <f t="shared" si="5"/>
        <v>160</v>
      </c>
      <c r="T55" s="415">
        <f t="shared" si="5"/>
        <v>125</v>
      </c>
      <c r="U55" s="10"/>
      <c r="V55" s="10"/>
    </row>
    <row r="56" spans="1:22" ht="16" customHeight="1" x14ac:dyDescent="0.35">
      <c r="A56" s="445" t="s">
        <v>82</v>
      </c>
      <c r="B56" s="441"/>
      <c r="C56" s="441"/>
      <c r="D56" s="441"/>
      <c r="E56" s="441"/>
      <c r="F56" s="441"/>
      <c r="G56" s="441"/>
      <c r="H56" s="441"/>
      <c r="I56" s="441"/>
      <c r="J56" s="441"/>
      <c r="K56" s="441"/>
      <c r="L56" s="441"/>
      <c r="M56" s="441"/>
      <c r="N56" s="441"/>
      <c r="O56" s="441"/>
      <c r="P56" s="441"/>
      <c r="Q56" s="441"/>
      <c r="R56" s="441"/>
      <c r="S56" s="441"/>
      <c r="T56" s="442"/>
      <c r="U56" s="10"/>
      <c r="V56" s="10"/>
    </row>
    <row r="57" spans="1:22" ht="16" thickBot="1" x14ac:dyDescent="0.4">
      <c r="A57" s="446" t="s">
        <v>83</v>
      </c>
      <c r="B57" s="443"/>
      <c r="C57" s="443"/>
      <c r="D57" s="443"/>
      <c r="E57" s="443"/>
      <c r="F57" s="443"/>
      <c r="G57" s="443"/>
      <c r="H57" s="443"/>
      <c r="I57" s="443"/>
      <c r="J57" s="443"/>
      <c r="K57" s="443"/>
      <c r="L57" s="443"/>
      <c r="M57" s="443"/>
      <c r="N57" s="443"/>
      <c r="O57" s="443"/>
      <c r="P57" s="443"/>
      <c r="Q57" s="443"/>
      <c r="R57" s="443"/>
      <c r="S57" s="443"/>
      <c r="T57" s="444"/>
      <c r="U57" s="10"/>
      <c r="V57" s="10"/>
    </row>
    <row r="58" spans="1:22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</row>
    <row r="59" spans="1:22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</row>
    <row r="60" spans="1:22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</row>
    <row r="61" spans="1:22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</row>
    <row r="62" spans="1:22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</row>
    <row r="63" spans="1:22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</row>
    <row r="64" spans="1:22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</row>
    <row r="65" spans="1:22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</row>
    <row r="66" spans="1:22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</row>
    <row r="67" spans="1:22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</row>
    <row r="68" spans="1:22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</row>
    <row r="69" spans="1:22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</row>
    <row r="70" spans="1:22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</row>
    <row r="71" spans="1:22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</row>
    <row r="72" spans="1:22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</row>
    <row r="73" spans="1:22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</row>
    <row r="74" spans="1:22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</row>
    <row r="75" spans="1:22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</row>
    <row r="76" spans="1:22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</row>
    <row r="77" spans="1:22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</row>
    <row r="78" spans="1:22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</row>
    <row r="79" spans="1:22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</row>
    <row r="80" spans="1:22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</row>
    <row r="81" spans="21:22" x14ac:dyDescent="0.25">
      <c r="U81" s="10"/>
      <c r="V81" s="10"/>
    </row>
  </sheetData>
  <sheetProtection algorithmName="SHA-512" hashValue="YdWl21TfHNoLQuFrQSM5C1iBNaSB5tblJW2xcnVX3z7dN3CYsyZCtXkOVtvMjQtrjXf96vklERVC+GcYp3JFDg==" saltValue="HD7S5Su3rxMSbSvAsgc3nQ==" spinCount="100000" sheet="1" objects="1" scenarios="1" selectLockedCells="1"/>
  <mergeCells count="22">
    <mergeCell ref="F44:G44"/>
    <mergeCell ref="F52:G52"/>
    <mergeCell ref="F53:G53"/>
    <mergeCell ref="H51:I51"/>
    <mergeCell ref="H52:I52"/>
    <mergeCell ref="H53:I53"/>
    <mergeCell ref="I24:K24"/>
    <mergeCell ref="I25:K25"/>
    <mergeCell ref="I26:K26"/>
    <mergeCell ref="I23:K23"/>
    <mergeCell ref="F51:G51"/>
    <mergeCell ref="F46:G46"/>
    <mergeCell ref="F47:G47"/>
    <mergeCell ref="F48:G48"/>
    <mergeCell ref="H46:I46"/>
    <mergeCell ref="H47:I47"/>
    <mergeCell ref="H48:I48"/>
    <mergeCell ref="H42:I42"/>
    <mergeCell ref="F42:G42"/>
    <mergeCell ref="H43:I43"/>
    <mergeCell ref="F43:G43"/>
    <mergeCell ref="H44:I44"/>
  </mergeCells>
  <pageMargins left="0.78740157480314965" right="0.11811023622047245" top="0.39370078740157483" bottom="0.19685039370078741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78"/>
  <sheetViews>
    <sheetView zoomScaleNormal="100" workbookViewId="0">
      <selection activeCell="G138" sqref="G138"/>
    </sheetView>
  </sheetViews>
  <sheetFormatPr baseColWidth="10" defaultRowHeight="12.5" x14ac:dyDescent="0.25"/>
  <cols>
    <col min="1" max="1" width="2" customWidth="1"/>
    <col min="2" max="2" width="4.54296875" customWidth="1"/>
    <col min="3" max="3" width="3.54296875" customWidth="1"/>
    <col min="4" max="8" width="4.54296875" customWidth="1"/>
    <col min="9" max="9" width="2.81640625" customWidth="1"/>
    <col min="10" max="15" width="4.54296875" customWidth="1"/>
    <col min="16" max="16" width="5.26953125" customWidth="1"/>
    <col min="17" max="19" width="4.54296875" customWidth="1"/>
    <col min="20" max="20" width="9.54296875" customWidth="1"/>
    <col min="21" max="45" width="4.7265625" customWidth="1"/>
  </cols>
  <sheetData>
    <row r="1" spans="1:20" ht="13" x14ac:dyDescent="0.3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 t="s">
        <v>279</v>
      </c>
      <c r="R1" s="7"/>
      <c r="S1" s="8"/>
      <c r="T1" s="9"/>
    </row>
    <row r="2" spans="1:20" ht="20" x14ac:dyDescent="0.4">
      <c r="A2" s="11"/>
      <c r="B2" s="12" t="s">
        <v>0</v>
      </c>
      <c r="C2" s="13"/>
      <c r="D2" s="14"/>
      <c r="E2" s="14"/>
      <c r="F2" s="15"/>
      <c r="G2" s="15"/>
      <c r="H2" s="16"/>
      <c r="I2" s="16"/>
      <c r="J2" s="16"/>
      <c r="K2" s="16"/>
      <c r="L2" s="16"/>
      <c r="M2" s="16"/>
      <c r="N2" s="16"/>
      <c r="O2" s="17"/>
      <c r="P2" s="18"/>
      <c r="Q2" s="19">
        <v>42535</v>
      </c>
      <c r="R2" s="20"/>
      <c r="S2" s="21"/>
      <c r="T2" s="22"/>
    </row>
    <row r="3" spans="1:20" ht="13" x14ac:dyDescent="0.3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5"/>
      <c r="Q3" s="26" t="s">
        <v>84</v>
      </c>
      <c r="R3" s="27"/>
      <c r="S3" s="28"/>
      <c r="T3" s="29"/>
    </row>
    <row r="4" spans="1:20" ht="13" x14ac:dyDescent="0.3">
      <c r="A4" s="30"/>
      <c r="B4" s="31" t="s">
        <v>2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3" t="s">
        <v>3</v>
      </c>
      <c r="R4" s="34"/>
      <c r="S4" s="35"/>
      <c r="T4" s="36"/>
    </row>
    <row r="5" spans="1:20" ht="13" x14ac:dyDescent="0.3">
      <c r="A5" s="30"/>
      <c r="B5" s="31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19" t="s">
        <v>4</v>
      </c>
      <c r="R5" s="37"/>
      <c r="S5" s="38"/>
      <c r="T5" s="39"/>
    </row>
    <row r="6" spans="1:20" ht="13" x14ac:dyDescent="0.3">
      <c r="A6" s="30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3" t="s">
        <v>218</v>
      </c>
      <c r="R6" s="34"/>
      <c r="S6" s="35"/>
      <c r="T6" s="36"/>
    </row>
    <row r="7" spans="1:20" ht="13" x14ac:dyDescent="0.3">
      <c r="A7" s="30"/>
      <c r="B7" s="107" t="s">
        <v>85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19" t="s">
        <v>219</v>
      </c>
      <c r="R7" s="37"/>
      <c r="S7" s="38"/>
      <c r="T7" s="39"/>
    </row>
    <row r="8" spans="1:20" x14ac:dyDescent="0.25">
      <c r="A8" s="30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44"/>
    </row>
    <row r="9" spans="1:20" x14ac:dyDescent="0.25">
      <c r="A9" s="30"/>
      <c r="B9" s="32" t="s">
        <v>86</v>
      </c>
      <c r="C9" s="32"/>
      <c r="D9" s="32"/>
      <c r="E9" s="32"/>
      <c r="F9" s="32"/>
      <c r="G9" s="32"/>
      <c r="H9" s="32"/>
      <c r="I9" s="32"/>
      <c r="J9" s="32"/>
      <c r="K9" s="183" t="s">
        <v>87</v>
      </c>
      <c r="L9" s="183"/>
      <c r="M9" s="183"/>
      <c r="N9" s="183"/>
      <c r="O9" s="183"/>
      <c r="P9" s="183"/>
      <c r="Q9" s="32"/>
      <c r="R9" s="32"/>
      <c r="S9" s="32"/>
      <c r="T9" s="44"/>
    </row>
    <row r="10" spans="1:20" x14ac:dyDescent="0.25">
      <c r="A10" s="30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44"/>
    </row>
    <row r="11" spans="1:20" x14ac:dyDescent="0.25">
      <c r="A11" s="30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44"/>
    </row>
    <row r="12" spans="1:20" x14ac:dyDescent="0.25">
      <c r="A12" s="30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44"/>
    </row>
    <row r="13" spans="1:20" x14ac:dyDescent="0.25">
      <c r="A13" s="30"/>
      <c r="B13" s="32"/>
      <c r="C13" s="32"/>
      <c r="D13" s="32"/>
      <c r="E13" s="32"/>
      <c r="F13" s="32" t="s">
        <v>88</v>
      </c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44"/>
    </row>
    <row r="14" spans="1:20" x14ac:dyDescent="0.25">
      <c r="A14" s="30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44"/>
    </row>
    <row r="15" spans="1:20" x14ac:dyDescent="0.25">
      <c r="A15" s="30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44"/>
    </row>
    <row r="16" spans="1:20" x14ac:dyDescent="0.25">
      <c r="A16" s="30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44"/>
    </row>
    <row r="17" spans="1:20" x14ac:dyDescent="0.25">
      <c r="A17" s="30"/>
      <c r="B17" s="32"/>
      <c r="C17" s="32"/>
      <c r="D17" s="32"/>
      <c r="E17" s="32"/>
      <c r="F17" s="32" t="s">
        <v>89</v>
      </c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44"/>
    </row>
    <row r="18" spans="1:20" x14ac:dyDescent="0.25">
      <c r="A18" s="30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44"/>
    </row>
    <row r="19" spans="1:20" ht="13" thickBot="1" x14ac:dyDescent="0.3">
      <c r="A19" s="30"/>
      <c r="B19" s="100"/>
      <c r="C19" s="100"/>
      <c r="D19" s="100"/>
      <c r="E19" s="100"/>
      <c r="F19" s="100" t="s">
        <v>90</v>
      </c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 t="s">
        <v>91</v>
      </c>
      <c r="R19" s="100"/>
      <c r="S19" s="100"/>
      <c r="T19" s="44"/>
    </row>
    <row r="20" spans="1:20" x14ac:dyDescent="0.25">
      <c r="A20" s="30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44"/>
    </row>
    <row r="21" spans="1:20" x14ac:dyDescent="0.25">
      <c r="A21" s="30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183" t="s">
        <v>92</v>
      </c>
      <c r="N21" s="183"/>
      <c r="O21" s="32"/>
      <c r="P21" s="32"/>
      <c r="Q21" s="32"/>
      <c r="R21" s="32"/>
      <c r="S21" s="32"/>
      <c r="T21" s="44"/>
    </row>
    <row r="22" spans="1:20" x14ac:dyDescent="0.25">
      <c r="A22" s="30"/>
      <c r="B22" s="32"/>
      <c r="C22" s="32"/>
      <c r="D22" s="32"/>
      <c r="E22" s="32"/>
      <c r="F22" s="32"/>
      <c r="G22" s="32"/>
      <c r="H22" s="32"/>
      <c r="I22" s="32" t="s">
        <v>93</v>
      </c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44"/>
    </row>
    <row r="23" spans="1:20" x14ac:dyDescent="0.25">
      <c r="A23" s="30"/>
      <c r="B23" s="32"/>
      <c r="C23" s="32"/>
      <c r="D23" s="32"/>
      <c r="E23" s="32"/>
      <c r="F23" s="32"/>
      <c r="G23" s="32"/>
      <c r="H23" s="32"/>
      <c r="I23" s="32" t="s">
        <v>94</v>
      </c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44"/>
    </row>
    <row r="24" spans="1:20" x14ac:dyDescent="0.25">
      <c r="A24" s="30"/>
      <c r="B24" s="32"/>
      <c r="C24" s="32"/>
      <c r="D24" s="32"/>
      <c r="E24" s="32"/>
      <c r="F24" s="32"/>
      <c r="G24" s="32"/>
      <c r="H24" s="32"/>
      <c r="I24" s="32" t="s">
        <v>95</v>
      </c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44"/>
    </row>
    <row r="25" spans="1:20" x14ac:dyDescent="0.25">
      <c r="A25" s="30"/>
      <c r="B25" s="32"/>
      <c r="C25" s="32"/>
      <c r="D25" s="32"/>
      <c r="E25" s="32"/>
      <c r="F25" s="32"/>
      <c r="G25" s="32"/>
      <c r="H25" s="32"/>
      <c r="I25" s="32" t="s">
        <v>96</v>
      </c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44"/>
    </row>
    <row r="26" spans="1:20" x14ac:dyDescent="0.25">
      <c r="A26" s="186"/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218"/>
    </row>
    <row r="27" spans="1:20" x14ac:dyDescent="0.25">
      <c r="A27" s="30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44"/>
    </row>
    <row r="28" spans="1:20" ht="13" x14ac:dyDescent="0.3">
      <c r="A28" s="30"/>
      <c r="B28" s="107" t="s">
        <v>97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44"/>
    </row>
    <row r="29" spans="1:20" x14ac:dyDescent="0.25">
      <c r="A29" s="30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44"/>
    </row>
    <row r="30" spans="1:20" ht="13" x14ac:dyDescent="0.3">
      <c r="A30" s="30"/>
      <c r="B30" s="32" t="s">
        <v>98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44"/>
    </row>
    <row r="31" spans="1:20" ht="13" x14ac:dyDescent="0.3">
      <c r="A31" s="30"/>
      <c r="B31" s="32"/>
      <c r="C31" s="40" t="s">
        <v>99</v>
      </c>
      <c r="D31" s="32"/>
      <c r="E31" s="32"/>
      <c r="F31" s="32"/>
      <c r="G31" s="32"/>
      <c r="H31" s="32"/>
      <c r="I31" s="32"/>
      <c r="J31" s="32"/>
      <c r="K31" s="32" t="s">
        <v>100</v>
      </c>
      <c r="L31" s="32"/>
      <c r="M31" s="32"/>
      <c r="N31" s="32"/>
      <c r="O31" s="32"/>
      <c r="P31" s="32"/>
      <c r="Q31" s="32"/>
      <c r="R31" s="32"/>
      <c r="S31" s="32"/>
      <c r="T31" s="44"/>
    </row>
    <row r="32" spans="1:20" ht="13" x14ac:dyDescent="0.3">
      <c r="A32" s="30"/>
      <c r="B32" s="32"/>
      <c r="C32" s="228" t="s">
        <v>101</v>
      </c>
      <c r="D32" s="32"/>
      <c r="E32" s="32"/>
      <c r="F32" s="32"/>
      <c r="G32" s="32"/>
      <c r="H32" s="32"/>
      <c r="I32" s="32"/>
      <c r="J32" s="32"/>
      <c r="K32" s="32" t="s">
        <v>102</v>
      </c>
      <c r="L32" s="32"/>
      <c r="M32" s="32"/>
      <c r="N32" s="32"/>
      <c r="O32" s="32"/>
      <c r="P32" s="32"/>
      <c r="Q32" s="32"/>
      <c r="R32" s="32"/>
      <c r="S32" s="32"/>
      <c r="T32" s="44"/>
    </row>
    <row r="33" spans="1:20" ht="13" x14ac:dyDescent="0.3">
      <c r="A33" s="30"/>
      <c r="B33" s="32"/>
      <c r="C33" s="229" t="s">
        <v>103</v>
      </c>
      <c r="D33" s="32"/>
      <c r="E33" s="32"/>
      <c r="F33" s="32"/>
      <c r="G33" s="32"/>
      <c r="H33" s="32"/>
      <c r="I33" s="32"/>
      <c r="J33" s="32"/>
      <c r="K33" s="32" t="s">
        <v>104</v>
      </c>
      <c r="L33" s="32"/>
      <c r="M33" s="32"/>
      <c r="N33" s="32"/>
      <c r="O33" s="32"/>
      <c r="P33" s="32"/>
      <c r="Q33" s="32"/>
      <c r="R33" s="32"/>
      <c r="S33" s="32"/>
      <c r="T33" s="44"/>
    </row>
    <row r="34" spans="1:20" x14ac:dyDescent="0.25">
      <c r="A34" s="30"/>
      <c r="B34" s="32"/>
      <c r="C34" s="32"/>
      <c r="D34" s="32"/>
      <c r="E34" s="32"/>
      <c r="F34" s="32"/>
      <c r="G34" s="32"/>
      <c r="H34" s="32"/>
      <c r="I34" s="32"/>
      <c r="J34" s="32"/>
      <c r="K34" s="32" t="s">
        <v>105</v>
      </c>
      <c r="L34" s="32"/>
      <c r="M34" s="32"/>
      <c r="N34" s="32"/>
      <c r="O34" s="32"/>
      <c r="P34" s="32"/>
      <c r="Q34" s="32"/>
      <c r="R34" s="32"/>
      <c r="S34" s="32"/>
      <c r="T34" s="44"/>
    </row>
    <row r="35" spans="1:20" x14ac:dyDescent="0.25">
      <c r="A35" s="30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44"/>
    </row>
    <row r="36" spans="1:20" ht="15.5" x14ac:dyDescent="0.4">
      <c r="A36" s="30"/>
      <c r="B36" s="32" t="s">
        <v>106</v>
      </c>
      <c r="C36" s="32"/>
      <c r="D36" s="32"/>
      <c r="E36" s="32"/>
      <c r="F36" s="32"/>
      <c r="G36" s="32"/>
      <c r="H36" s="32"/>
      <c r="I36" s="32" t="s">
        <v>107</v>
      </c>
      <c r="J36" s="32"/>
      <c r="K36" s="32"/>
      <c r="L36" s="32"/>
      <c r="M36" s="55" t="s">
        <v>108</v>
      </c>
      <c r="N36" s="32"/>
      <c r="O36" s="106" t="s">
        <v>233</v>
      </c>
      <c r="P36" s="32"/>
      <c r="Q36" s="32"/>
      <c r="R36" s="32"/>
      <c r="S36" s="32"/>
      <c r="T36" s="44"/>
    </row>
    <row r="37" spans="1:20" ht="15.5" x14ac:dyDescent="0.4">
      <c r="A37" s="30"/>
      <c r="B37" s="32" t="s">
        <v>109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55" t="s">
        <v>110</v>
      </c>
      <c r="N37" s="32"/>
      <c r="O37" s="499" t="s">
        <v>272</v>
      </c>
      <c r="P37" s="32"/>
      <c r="Q37" s="32"/>
      <c r="R37" s="32"/>
      <c r="S37" s="32"/>
      <c r="T37" s="44"/>
    </row>
    <row r="38" spans="1:20" ht="15.5" x14ac:dyDescent="0.4">
      <c r="A38" s="30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55" t="s">
        <v>111</v>
      </c>
      <c r="N38" s="32"/>
      <c r="O38" s="499" t="s">
        <v>273</v>
      </c>
      <c r="P38" s="32"/>
      <c r="Q38" s="32"/>
      <c r="R38" s="32"/>
      <c r="S38" s="32"/>
      <c r="T38" s="44"/>
    </row>
    <row r="39" spans="1:20" ht="15.5" x14ac:dyDescent="0.4">
      <c r="A39" s="30"/>
      <c r="B39" s="32"/>
      <c r="C39" s="32"/>
      <c r="D39" s="32"/>
      <c r="E39" s="32"/>
      <c r="F39" s="32"/>
      <c r="G39" s="32"/>
      <c r="H39" s="32"/>
      <c r="I39" s="32" t="s">
        <v>112</v>
      </c>
      <c r="J39" s="32"/>
      <c r="K39" s="32"/>
      <c r="L39" s="32"/>
      <c r="M39" s="55" t="s">
        <v>113</v>
      </c>
      <c r="N39" s="32"/>
      <c r="O39" s="499" t="s">
        <v>274</v>
      </c>
      <c r="P39" s="32"/>
      <c r="Q39" s="32"/>
      <c r="R39" s="32"/>
      <c r="S39" s="32"/>
      <c r="T39" s="44"/>
    </row>
    <row r="40" spans="1:20" ht="15.5" x14ac:dyDescent="0.4">
      <c r="A40" s="30"/>
      <c r="B40" s="32"/>
      <c r="C40" s="32"/>
      <c r="D40" s="32"/>
      <c r="E40" s="32"/>
      <c r="F40" s="32"/>
      <c r="G40" s="32"/>
      <c r="H40" s="32"/>
      <c r="I40" s="32" t="s">
        <v>114</v>
      </c>
      <c r="J40" s="32"/>
      <c r="K40" s="32"/>
      <c r="L40" s="32"/>
      <c r="M40" s="55" t="s">
        <v>115</v>
      </c>
      <c r="N40" s="32"/>
      <c r="O40" s="499" t="s">
        <v>275</v>
      </c>
      <c r="P40" s="32"/>
      <c r="Q40" s="32"/>
      <c r="R40" s="32"/>
      <c r="S40" s="32"/>
      <c r="T40" s="44"/>
    </row>
    <row r="41" spans="1:20" ht="15.5" x14ac:dyDescent="0.4">
      <c r="A41" s="30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55" t="s">
        <v>116</v>
      </c>
      <c r="N41" s="32"/>
      <c r="O41" s="499" t="s">
        <v>276</v>
      </c>
      <c r="P41" s="32"/>
      <c r="Q41" s="32"/>
      <c r="R41" s="32"/>
      <c r="S41" s="32"/>
      <c r="T41" s="44"/>
    </row>
    <row r="42" spans="1:20" ht="15.5" x14ac:dyDescent="0.4">
      <c r="A42" s="30"/>
      <c r="B42" s="32"/>
      <c r="C42" s="32"/>
      <c r="D42" s="32"/>
      <c r="E42" s="32"/>
      <c r="F42" s="32"/>
      <c r="G42" s="32" t="s">
        <v>196</v>
      </c>
      <c r="J42" s="32"/>
      <c r="K42" s="32"/>
      <c r="L42" s="32"/>
      <c r="M42" s="474" t="s">
        <v>231</v>
      </c>
      <c r="N42" s="32"/>
      <c r="O42" s="106" t="s">
        <v>232</v>
      </c>
      <c r="P42" s="32"/>
      <c r="Q42" s="32"/>
      <c r="R42" s="32"/>
      <c r="S42" s="32"/>
      <c r="T42" s="44"/>
    </row>
    <row r="43" spans="1:20" x14ac:dyDescent="0.25">
      <c r="A43" s="30"/>
      <c r="B43" s="32"/>
      <c r="C43" s="32"/>
      <c r="D43" s="32"/>
      <c r="E43" s="32"/>
      <c r="F43" s="32"/>
      <c r="G43" s="32"/>
      <c r="H43" s="32"/>
      <c r="I43" s="32" t="s">
        <v>117</v>
      </c>
      <c r="J43" s="32"/>
      <c r="K43" s="32"/>
      <c r="L43" s="32"/>
      <c r="M43" s="230" t="s">
        <v>118</v>
      </c>
      <c r="N43" s="32"/>
      <c r="O43" s="32" t="s">
        <v>119</v>
      </c>
      <c r="P43" s="32"/>
      <c r="Q43" s="32"/>
      <c r="R43" s="32"/>
      <c r="S43" s="32"/>
      <c r="T43" s="44"/>
    </row>
    <row r="44" spans="1:20" x14ac:dyDescent="0.25">
      <c r="A44" s="30"/>
      <c r="B44" s="32"/>
      <c r="C44" s="32"/>
      <c r="D44" s="32"/>
      <c r="E44" s="32"/>
      <c r="F44" s="32"/>
      <c r="G44" s="32"/>
      <c r="H44" s="32"/>
      <c r="I44" s="32" t="s">
        <v>120</v>
      </c>
      <c r="J44" s="32"/>
      <c r="K44" s="32"/>
      <c r="L44" s="32"/>
      <c r="M44" s="55" t="s">
        <v>35</v>
      </c>
      <c r="N44" s="32"/>
      <c r="O44" s="32" t="s">
        <v>220</v>
      </c>
      <c r="P44" s="32"/>
      <c r="Q44" s="32"/>
      <c r="R44" s="32"/>
      <c r="S44" s="32"/>
      <c r="T44" s="44"/>
    </row>
    <row r="45" spans="1:20" x14ac:dyDescent="0.25">
      <c r="A45" s="30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55"/>
      <c r="N45" s="32"/>
      <c r="O45" s="32"/>
      <c r="P45" s="32"/>
      <c r="Q45" s="32"/>
      <c r="R45" s="32"/>
      <c r="S45" s="32"/>
      <c r="T45" s="44"/>
    </row>
    <row r="46" spans="1:20" x14ac:dyDescent="0.25">
      <c r="A46" s="30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44"/>
    </row>
    <row r="47" spans="1:20" x14ac:dyDescent="0.25">
      <c r="A47" s="30"/>
      <c r="B47" s="32" t="s">
        <v>221</v>
      </c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44"/>
    </row>
    <row r="48" spans="1:20" x14ac:dyDescent="0.25">
      <c r="A48" s="30"/>
      <c r="B48" s="32" t="s">
        <v>222</v>
      </c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44"/>
    </row>
    <row r="49" spans="1:20" x14ac:dyDescent="0.25">
      <c r="A49" s="30"/>
      <c r="B49" s="32" t="s">
        <v>223</v>
      </c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44"/>
    </row>
    <row r="50" spans="1:20" x14ac:dyDescent="0.25">
      <c r="A50" s="30"/>
      <c r="B50" s="32" t="s">
        <v>224</v>
      </c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44"/>
    </row>
    <row r="51" spans="1:20" ht="6" customHeight="1" x14ac:dyDescent="0.25">
      <c r="A51" s="30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44"/>
    </row>
    <row r="52" spans="1:20" x14ac:dyDescent="0.25">
      <c r="A52" s="30"/>
      <c r="B52" s="32" t="s">
        <v>121</v>
      </c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44"/>
    </row>
    <row r="53" spans="1:20" x14ac:dyDescent="0.25">
      <c r="A53" s="30"/>
      <c r="B53" s="32" t="s">
        <v>122</v>
      </c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44"/>
    </row>
    <row r="54" spans="1:20" x14ac:dyDescent="0.25">
      <c r="A54" s="30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44"/>
    </row>
    <row r="55" spans="1:20" x14ac:dyDescent="0.25">
      <c r="A55" s="30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44"/>
    </row>
    <row r="56" spans="1:20" ht="6" customHeight="1" x14ac:dyDescent="0.25">
      <c r="A56" s="30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44"/>
    </row>
    <row r="57" spans="1:20" x14ac:dyDescent="0.25">
      <c r="A57" s="30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44"/>
    </row>
    <row r="58" spans="1:20" x14ac:dyDescent="0.25">
      <c r="A58" s="30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44"/>
    </row>
    <row r="59" spans="1:20" ht="13" thickBot="1" x14ac:dyDescent="0.3">
      <c r="A59" s="171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62"/>
    </row>
    <row r="60" spans="1:20" ht="13" x14ac:dyDescent="0.3">
      <c r="A60" s="3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5"/>
      <c r="Q60" s="6" t="s">
        <v>279</v>
      </c>
      <c r="R60" s="7"/>
      <c r="S60" s="8"/>
      <c r="T60" s="9"/>
    </row>
    <row r="61" spans="1:20" ht="20" x14ac:dyDescent="0.4">
      <c r="A61" s="11"/>
      <c r="B61" s="12" t="s">
        <v>0</v>
      </c>
      <c r="C61" s="13"/>
      <c r="D61" s="14"/>
      <c r="E61" s="14"/>
      <c r="F61" s="15"/>
      <c r="G61" s="15"/>
      <c r="H61" s="16"/>
      <c r="I61" s="16"/>
      <c r="J61" s="16"/>
      <c r="K61" s="16"/>
      <c r="L61" s="16"/>
      <c r="M61" s="16"/>
      <c r="N61" s="16"/>
      <c r="O61" s="17"/>
      <c r="P61" s="18"/>
      <c r="Q61" s="19">
        <f>Q2</f>
        <v>42535</v>
      </c>
      <c r="R61" s="20"/>
      <c r="S61" s="21"/>
      <c r="T61" s="22"/>
    </row>
    <row r="62" spans="1:20" ht="13" x14ac:dyDescent="0.3">
      <c r="A62" s="23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5"/>
      <c r="Q62" s="26" t="s">
        <v>123</v>
      </c>
      <c r="R62" s="27"/>
      <c r="S62" s="28"/>
      <c r="T62" s="29"/>
    </row>
    <row r="63" spans="1:20" ht="13" x14ac:dyDescent="0.3">
      <c r="A63" s="30"/>
      <c r="B63" s="31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3" t="s">
        <v>3</v>
      </c>
      <c r="R63" s="34"/>
      <c r="S63" s="35"/>
      <c r="T63" s="36"/>
    </row>
    <row r="64" spans="1:20" ht="13" x14ac:dyDescent="0.3">
      <c r="A64" s="30"/>
      <c r="B64" s="31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19" t="s">
        <v>4</v>
      </c>
      <c r="R64" s="37"/>
      <c r="S64" s="38"/>
      <c r="T64" s="39"/>
    </row>
    <row r="65" spans="1:20" ht="13" x14ac:dyDescent="0.3">
      <c r="A65" s="30"/>
      <c r="B65" s="31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3" t="s">
        <v>218</v>
      </c>
      <c r="R65" s="34"/>
      <c r="S65" s="35"/>
      <c r="T65" s="36"/>
    </row>
    <row r="66" spans="1:20" ht="13" x14ac:dyDescent="0.3">
      <c r="A66" s="186"/>
      <c r="B66" s="227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166"/>
      <c r="Q66" s="19" t="s">
        <v>219</v>
      </c>
      <c r="R66" s="37"/>
      <c r="S66" s="38"/>
      <c r="T66" s="39"/>
    </row>
    <row r="67" spans="1:20" x14ac:dyDescent="0.25">
      <c r="A67" s="30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44"/>
    </row>
    <row r="68" spans="1:20" ht="18" x14ac:dyDescent="0.4">
      <c r="A68" s="30"/>
      <c r="B68" s="451" t="s">
        <v>124</v>
      </c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44"/>
    </row>
    <row r="69" spans="1:20" x14ac:dyDescent="0.25">
      <c r="A69" s="30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44"/>
    </row>
    <row r="70" spans="1:20" x14ac:dyDescent="0.25">
      <c r="A70" s="30"/>
      <c r="B70" s="32" t="s">
        <v>291</v>
      </c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44"/>
    </row>
    <row r="71" spans="1:20" x14ac:dyDescent="0.25">
      <c r="A71" s="30"/>
      <c r="B71" s="32" t="s">
        <v>125</v>
      </c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44"/>
    </row>
    <row r="72" spans="1:20" x14ac:dyDescent="0.25">
      <c r="A72" s="30"/>
      <c r="B72" s="32" t="s">
        <v>126</v>
      </c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44"/>
    </row>
    <row r="73" spans="1:20" x14ac:dyDescent="0.25">
      <c r="A73" s="30"/>
      <c r="B73" s="499" t="s">
        <v>285</v>
      </c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44"/>
    </row>
    <row r="74" spans="1:20" x14ac:dyDescent="0.25">
      <c r="A74" s="30"/>
      <c r="B74" s="32" t="s">
        <v>127</v>
      </c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44"/>
    </row>
    <row r="75" spans="1:20" x14ac:dyDescent="0.25">
      <c r="A75" s="30"/>
      <c r="B75" s="32" t="s">
        <v>128</v>
      </c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44"/>
    </row>
    <row r="76" spans="1:20" x14ac:dyDescent="0.25">
      <c r="A76" s="30"/>
      <c r="B76" s="32" t="s">
        <v>129</v>
      </c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44"/>
    </row>
    <row r="77" spans="1:20" x14ac:dyDescent="0.25">
      <c r="A77" s="30"/>
      <c r="B77" s="32" t="s">
        <v>292</v>
      </c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44"/>
    </row>
    <row r="78" spans="1:20" x14ac:dyDescent="0.25">
      <c r="A78" s="30"/>
      <c r="B78" s="32" t="s">
        <v>130</v>
      </c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44"/>
    </row>
    <row r="79" spans="1:20" x14ac:dyDescent="0.25">
      <c r="A79" s="30"/>
      <c r="B79" s="32" t="s">
        <v>293</v>
      </c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44"/>
    </row>
    <row r="80" spans="1:20" x14ac:dyDescent="0.25">
      <c r="A80" s="30"/>
      <c r="B80" s="32" t="s">
        <v>283</v>
      </c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44"/>
    </row>
    <row r="81" spans="1:20" x14ac:dyDescent="0.25">
      <c r="A81" s="30"/>
      <c r="B81" s="32" t="s">
        <v>289</v>
      </c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44"/>
    </row>
    <row r="82" spans="1:20" x14ac:dyDescent="0.25">
      <c r="A82" s="30"/>
      <c r="B82" s="32" t="s">
        <v>288</v>
      </c>
      <c r="M82" s="32"/>
      <c r="N82" s="32"/>
      <c r="O82" s="32"/>
      <c r="P82" s="32"/>
      <c r="Q82" s="32"/>
      <c r="R82" s="32"/>
      <c r="S82" s="32"/>
      <c r="T82" s="44"/>
    </row>
    <row r="83" spans="1:20" x14ac:dyDescent="0.25">
      <c r="A83" s="30"/>
      <c r="B83" s="32" t="s">
        <v>287</v>
      </c>
      <c r="T83" s="44"/>
    </row>
    <row r="84" spans="1:20" x14ac:dyDescent="0.25">
      <c r="A84" s="30"/>
      <c r="B84" s="32" t="s">
        <v>286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44"/>
    </row>
    <row r="85" spans="1:20" x14ac:dyDescent="0.25">
      <c r="A85" s="30"/>
      <c r="B85" s="32" t="s">
        <v>131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44"/>
    </row>
    <row r="86" spans="1:20" x14ac:dyDescent="0.25">
      <c r="A86" s="30"/>
      <c r="B86" s="32" t="s">
        <v>290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44"/>
    </row>
    <row r="87" spans="1:20" x14ac:dyDescent="0.25">
      <c r="A87" s="452"/>
      <c r="B87" s="32" t="s">
        <v>132</v>
      </c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44"/>
    </row>
    <row r="88" spans="1:20" x14ac:dyDescent="0.25">
      <c r="A88" s="452"/>
      <c r="B88" s="32" t="s">
        <v>133</v>
      </c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453"/>
      <c r="N88" s="453"/>
      <c r="O88" s="453"/>
      <c r="P88" s="453"/>
      <c r="Q88" s="453"/>
      <c r="R88" s="453"/>
      <c r="S88" s="453"/>
      <c r="T88" s="454"/>
    </row>
    <row r="89" spans="1:20" x14ac:dyDescent="0.25">
      <c r="A89" s="452"/>
      <c r="B89" s="453" t="s">
        <v>134</v>
      </c>
      <c r="C89" s="453"/>
      <c r="D89" s="453"/>
      <c r="E89" s="453"/>
      <c r="F89" s="453"/>
      <c r="G89" s="453"/>
      <c r="H89" s="453"/>
      <c r="I89" s="453"/>
      <c r="J89" s="453"/>
      <c r="K89" s="453"/>
      <c r="L89" s="453"/>
      <c r="M89" s="453"/>
      <c r="N89" s="453"/>
      <c r="O89" s="453"/>
      <c r="P89" s="453"/>
      <c r="Q89" s="453"/>
      <c r="R89" s="453"/>
      <c r="S89" s="453"/>
      <c r="T89" s="454"/>
    </row>
    <row r="90" spans="1:20" x14ac:dyDescent="0.25">
      <c r="A90" s="452"/>
      <c r="B90" s="453" t="s">
        <v>135</v>
      </c>
      <c r="C90" s="453"/>
      <c r="D90" s="453"/>
      <c r="E90" s="453"/>
      <c r="F90" s="453"/>
      <c r="G90" s="453"/>
      <c r="H90" s="453"/>
      <c r="I90" s="453"/>
      <c r="J90" s="453"/>
      <c r="K90" s="453"/>
      <c r="L90" s="453"/>
      <c r="M90" s="453"/>
      <c r="N90" s="453"/>
      <c r="O90" s="453"/>
      <c r="P90" s="453"/>
      <c r="Q90" s="453"/>
      <c r="R90" s="453"/>
      <c r="S90" s="453"/>
      <c r="T90" s="454"/>
    </row>
    <row r="91" spans="1:20" x14ac:dyDescent="0.25">
      <c r="A91" s="452"/>
      <c r="B91" s="453" t="s">
        <v>136</v>
      </c>
      <c r="C91" s="453"/>
      <c r="D91" s="453"/>
      <c r="E91" s="453"/>
      <c r="F91" s="453"/>
      <c r="G91" s="453"/>
      <c r="H91" s="453"/>
      <c r="I91" s="453"/>
      <c r="J91" s="453"/>
      <c r="K91" s="453"/>
      <c r="L91" s="453"/>
      <c r="M91" s="453"/>
      <c r="N91" s="453"/>
      <c r="O91" s="453"/>
      <c r="P91" s="453"/>
      <c r="Q91" s="453"/>
      <c r="R91" s="453"/>
      <c r="S91" s="453"/>
      <c r="T91" s="454"/>
    </row>
    <row r="92" spans="1:20" x14ac:dyDescent="0.25">
      <c r="A92" s="452"/>
      <c r="B92" s="453" t="s">
        <v>137</v>
      </c>
      <c r="C92" s="453"/>
      <c r="D92" s="453"/>
      <c r="E92" s="453"/>
      <c r="F92" s="453"/>
      <c r="G92" s="453"/>
      <c r="H92" s="453"/>
      <c r="I92" s="453"/>
      <c r="J92" s="453"/>
      <c r="K92" s="453"/>
      <c r="L92" s="453"/>
      <c r="M92" s="453"/>
      <c r="N92" s="453"/>
      <c r="O92" s="453"/>
      <c r="P92" s="453"/>
      <c r="Q92" s="453"/>
      <c r="R92" s="453"/>
      <c r="S92" s="453"/>
      <c r="T92" s="454"/>
    </row>
    <row r="93" spans="1:20" x14ac:dyDescent="0.25">
      <c r="A93" s="452"/>
      <c r="B93" s="453" t="s">
        <v>138</v>
      </c>
      <c r="C93" s="453"/>
      <c r="D93" s="453"/>
      <c r="E93" s="453"/>
      <c r="F93" s="453"/>
      <c r="G93" s="453"/>
      <c r="H93" s="453"/>
      <c r="I93" s="453"/>
      <c r="J93" s="453"/>
      <c r="K93" s="453"/>
      <c r="L93" s="453"/>
      <c r="M93" s="453"/>
      <c r="N93" s="453"/>
      <c r="O93" s="453"/>
      <c r="P93" s="453"/>
      <c r="Q93" s="453"/>
      <c r="R93" s="453"/>
      <c r="S93" s="453"/>
      <c r="T93" s="454"/>
    </row>
    <row r="94" spans="1:20" x14ac:dyDescent="0.25">
      <c r="A94" s="452"/>
      <c r="B94" s="453" t="s">
        <v>139</v>
      </c>
      <c r="C94" s="453"/>
      <c r="D94" s="453"/>
      <c r="E94" s="453"/>
      <c r="F94" s="453"/>
      <c r="G94" s="453"/>
      <c r="H94" s="453"/>
      <c r="I94" s="453"/>
      <c r="J94" s="453"/>
      <c r="K94" s="453"/>
      <c r="L94" s="453"/>
      <c r="M94" s="453"/>
      <c r="N94" s="453"/>
      <c r="O94" s="453"/>
      <c r="P94" s="453"/>
      <c r="Q94" s="453"/>
      <c r="R94" s="453"/>
      <c r="S94" s="453"/>
      <c r="T94" s="454"/>
    </row>
    <row r="95" spans="1:20" x14ac:dyDescent="0.25">
      <c r="A95" s="30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44"/>
    </row>
    <row r="96" spans="1:20" x14ac:dyDescent="0.25">
      <c r="A96" s="30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44"/>
    </row>
    <row r="97" spans="1:20" x14ac:dyDescent="0.25">
      <c r="A97" s="30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44"/>
    </row>
    <row r="98" spans="1:20" x14ac:dyDescent="0.25">
      <c r="A98" s="30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44"/>
    </row>
    <row r="99" spans="1:20" x14ac:dyDescent="0.25">
      <c r="A99" s="30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44"/>
    </row>
    <row r="100" spans="1:20" x14ac:dyDescent="0.25">
      <c r="A100" s="30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44"/>
    </row>
    <row r="101" spans="1:20" x14ac:dyDescent="0.25">
      <c r="A101" s="30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44"/>
    </row>
    <row r="102" spans="1:20" x14ac:dyDescent="0.25">
      <c r="A102" s="30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44"/>
    </row>
    <row r="103" spans="1:20" x14ac:dyDescent="0.25">
      <c r="A103" s="452"/>
      <c r="B103" s="453"/>
      <c r="C103" s="453"/>
      <c r="D103" s="453"/>
      <c r="E103" s="453"/>
      <c r="F103" s="453"/>
      <c r="G103" s="453"/>
      <c r="H103" s="453"/>
      <c r="I103" s="453"/>
      <c r="J103" s="453"/>
      <c r="K103" s="453"/>
      <c r="L103" s="453"/>
      <c r="M103" s="453"/>
      <c r="N103" s="453"/>
      <c r="O103" s="453"/>
      <c r="P103" s="453"/>
      <c r="Q103" s="453"/>
      <c r="R103" s="453"/>
      <c r="S103" s="453"/>
      <c r="T103" s="454"/>
    </row>
    <row r="104" spans="1:20" x14ac:dyDescent="0.25">
      <c r="A104" s="452"/>
      <c r="B104" s="453"/>
      <c r="C104" s="453"/>
      <c r="D104" s="453"/>
      <c r="E104" s="453"/>
      <c r="F104" s="453"/>
      <c r="G104" s="453"/>
      <c r="H104" s="453"/>
      <c r="I104" s="453"/>
      <c r="J104" s="453"/>
      <c r="K104" s="453"/>
      <c r="L104" s="453"/>
      <c r="M104" s="453"/>
      <c r="N104" s="453"/>
      <c r="O104" s="453"/>
      <c r="P104" s="453"/>
      <c r="Q104" s="453"/>
      <c r="R104" s="453"/>
      <c r="S104" s="453"/>
      <c r="T104" s="454"/>
    </row>
    <row r="105" spans="1:20" x14ac:dyDescent="0.25">
      <c r="A105" s="452"/>
      <c r="B105" s="453"/>
      <c r="C105" s="453"/>
      <c r="D105" s="453"/>
      <c r="E105" s="453"/>
      <c r="F105" s="453"/>
      <c r="G105" s="453"/>
      <c r="H105" s="453"/>
      <c r="I105" s="453"/>
      <c r="J105" s="453"/>
      <c r="K105" s="453"/>
      <c r="L105" s="453"/>
      <c r="M105" s="453"/>
      <c r="N105" s="453"/>
      <c r="O105" s="453"/>
      <c r="P105" s="453"/>
      <c r="Q105" s="453"/>
      <c r="R105" s="453"/>
      <c r="S105" s="453"/>
      <c r="T105" s="454"/>
    </row>
    <row r="106" spans="1:20" x14ac:dyDescent="0.25">
      <c r="A106" s="452"/>
      <c r="B106" s="453"/>
      <c r="C106" s="453"/>
      <c r="D106" s="453"/>
      <c r="E106" s="453"/>
      <c r="F106" s="453"/>
      <c r="G106" s="453"/>
      <c r="H106" s="453"/>
      <c r="I106" s="453"/>
      <c r="J106" s="453"/>
      <c r="K106" s="453"/>
      <c r="L106" s="453"/>
      <c r="M106" s="453"/>
      <c r="N106" s="453"/>
      <c r="O106" s="453"/>
      <c r="P106" s="453"/>
      <c r="Q106" s="453"/>
      <c r="R106" s="453"/>
      <c r="S106" s="453"/>
      <c r="T106" s="454"/>
    </row>
    <row r="107" spans="1:20" x14ac:dyDescent="0.25">
      <c r="A107" s="452"/>
      <c r="B107" s="453"/>
      <c r="C107" s="453"/>
      <c r="D107" s="453"/>
      <c r="E107" s="453"/>
      <c r="F107" s="453"/>
      <c r="G107" s="453"/>
      <c r="H107" s="453"/>
      <c r="I107" s="453"/>
      <c r="J107" s="453"/>
      <c r="K107" s="453"/>
      <c r="L107" s="453"/>
      <c r="M107" s="453"/>
      <c r="N107" s="453"/>
      <c r="O107" s="453"/>
      <c r="P107" s="453"/>
      <c r="Q107" s="453"/>
      <c r="R107" s="453"/>
      <c r="S107" s="453"/>
      <c r="T107" s="454"/>
    </row>
    <row r="108" spans="1:20" x14ac:dyDescent="0.25">
      <c r="A108" s="452"/>
      <c r="B108" s="453"/>
      <c r="C108" s="453"/>
      <c r="D108" s="453"/>
      <c r="E108" s="453"/>
      <c r="F108" s="453"/>
      <c r="G108" s="453"/>
      <c r="H108" s="453"/>
      <c r="I108" s="453"/>
      <c r="J108" s="453"/>
      <c r="K108" s="453"/>
      <c r="L108" s="453"/>
      <c r="M108" s="453"/>
      <c r="N108" s="453"/>
      <c r="O108" s="453"/>
      <c r="P108" s="453"/>
      <c r="Q108" s="453"/>
      <c r="R108" s="453"/>
      <c r="S108" s="453"/>
      <c r="T108" s="454"/>
    </row>
    <row r="109" spans="1:20" x14ac:dyDescent="0.25">
      <c r="A109" s="452"/>
      <c r="B109" s="453"/>
      <c r="C109" s="453"/>
      <c r="D109" s="453"/>
      <c r="E109" s="453"/>
      <c r="F109" s="453"/>
      <c r="G109" s="453"/>
      <c r="H109" s="453"/>
      <c r="I109" s="453"/>
      <c r="J109" s="453"/>
      <c r="K109" s="453"/>
      <c r="L109" s="453"/>
      <c r="M109" s="453"/>
      <c r="N109" s="453"/>
      <c r="O109" s="453"/>
      <c r="P109" s="453"/>
      <c r="Q109" s="453"/>
      <c r="R109" s="453"/>
      <c r="S109" s="453"/>
      <c r="T109" s="454"/>
    </row>
    <row r="110" spans="1:20" x14ac:dyDescent="0.25">
      <c r="A110" s="452"/>
      <c r="B110" s="453"/>
      <c r="C110" s="453"/>
      <c r="D110" s="453"/>
      <c r="E110" s="453"/>
      <c r="F110" s="453"/>
      <c r="G110" s="453"/>
      <c r="H110" s="453"/>
      <c r="I110" s="453"/>
      <c r="J110" s="453"/>
      <c r="K110" s="453"/>
      <c r="L110" s="453"/>
      <c r="M110" s="453"/>
      <c r="N110" s="453"/>
      <c r="O110" s="453"/>
      <c r="P110" s="453"/>
      <c r="Q110" s="453"/>
      <c r="R110" s="453"/>
      <c r="S110" s="453"/>
      <c r="T110" s="454"/>
    </row>
    <row r="111" spans="1:20" x14ac:dyDescent="0.25">
      <c r="A111" s="452"/>
      <c r="B111" s="453"/>
      <c r="C111" s="453"/>
      <c r="D111" s="453"/>
      <c r="E111" s="453"/>
      <c r="F111" s="453"/>
      <c r="G111" s="453"/>
      <c r="H111" s="453"/>
      <c r="I111" s="453"/>
      <c r="J111" s="453"/>
      <c r="K111" s="453"/>
      <c r="L111" s="453"/>
      <c r="M111" s="453"/>
      <c r="N111" s="453"/>
      <c r="O111" s="453"/>
      <c r="P111" s="453"/>
      <c r="Q111" s="453"/>
      <c r="R111" s="453"/>
      <c r="S111" s="453"/>
      <c r="T111" s="454"/>
    </row>
    <row r="112" spans="1:20" x14ac:dyDescent="0.25">
      <c r="A112" s="452"/>
      <c r="B112" s="453"/>
      <c r="C112" s="453"/>
      <c r="D112" s="453"/>
      <c r="E112" s="453"/>
      <c r="F112" s="453"/>
      <c r="G112" s="453"/>
      <c r="H112" s="453"/>
      <c r="I112" s="453"/>
      <c r="J112" s="453"/>
      <c r="K112" s="453"/>
      <c r="L112" s="453"/>
      <c r="M112" s="453"/>
      <c r="N112" s="453"/>
      <c r="O112" s="453"/>
      <c r="P112" s="453"/>
      <c r="Q112" s="453"/>
      <c r="R112" s="453"/>
      <c r="S112" s="453"/>
      <c r="T112" s="454"/>
    </row>
    <row r="113" spans="1:20" x14ac:dyDescent="0.25">
      <c r="A113" s="452"/>
      <c r="B113" s="453"/>
      <c r="C113" s="453"/>
      <c r="D113" s="453"/>
      <c r="E113" s="453"/>
      <c r="F113" s="453"/>
      <c r="G113" s="453"/>
      <c r="H113" s="453"/>
      <c r="I113" s="453"/>
      <c r="J113" s="453"/>
      <c r="K113" s="453"/>
      <c r="L113" s="453"/>
      <c r="M113" s="453"/>
      <c r="N113" s="453"/>
      <c r="O113" s="453"/>
      <c r="P113" s="453"/>
      <c r="Q113" s="453"/>
      <c r="R113" s="453"/>
      <c r="S113" s="453"/>
      <c r="T113" s="454"/>
    </row>
    <row r="114" spans="1:20" x14ac:dyDescent="0.25">
      <c r="A114" s="452"/>
      <c r="B114" s="453"/>
      <c r="C114" s="453"/>
      <c r="D114" s="453"/>
      <c r="E114" s="453"/>
      <c r="F114" s="453"/>
      <c r="G114" s="453"/>
      <c r="H114" s="453"/>
      <c r="I114" s="453"/>
      <c r="J114" s="453"/>
      <c r="K114" s="453"/>
      <c r="L114" s="453"/>
      <c r="M114" s="453"/>
      <c r="N114" s="453"/>
      <c r="O114" s="453"/>
      <c r="P114" s="453"/>
      <c r="Q114" s="453"/>
      <c r="R114" s="453"/>
      <c r="S114" s="453"/>
      <c r="T114" s="454"/>
    </row>
    <row r="115" spans="1:20" x14ac:dyDescent="0.25">
      <c r="A115" s="452"/>
      <c r="B115" s="453"/>
      <c r="C115" s="453"/>
      <c r="D115" s="453"/>
      <c r="E115" s="453"/>
      <c r="F115" s="453"/>
      <c r="G115" s="453"/>
      <c r="H115" s="453"/>
      <c r="I115" s="453"/>
      <c r="J115" s="453"/>
      <c r="K115" s="453"/>
      <c r="L115" s="453"/>
      <c r="M115" s="453"/>
      <c r="N115" s="453"/>
      <c r="O115" s="453"/>
      <c r="P115" s="453"/>
      <c r="Q115" s="453"/>
      <c r="R115" s="453"/>
      <c r="S115" s="453"/>
      <c r="T115" s="454"/>
    </row>
    <row r="116" spans="1:20" x14ac:dyDescent="0.25">
      <c r="A116" s="452"/>
      <c r="B116" s="453"/>
      <c r="C116" s="453"/>
      <c r="D116" s="453"/>
      <c r="E116" s="453"/>
      <c r="F116" s="453"/>
      <c r="G116" s="453"/>
      <c r="H116" s="453"/>
      <c r="I116" s="453"/>
      <c r="J116" s="453"/>
      <c r="K116" s="453"/>
      <c r="L116" s="453"/>
      <c r="M116" s="453"/>
      <c r="N116" s="453"/>
      <c r="O116" s="453"/>
      <c r="P116" s="453"/>
      <c r="Q116" s="453"/>
      <c r="R116" s="453"/>
      <c r="S116" s="453"/>
      <c r="T116" s="454"/>
    </row>
    <row r="117" spans="1:20" x14ac:dyDescent="0.25">
      <c r="A117" s="452"/>
      <c r="B117" s="453"/>
      <c r="C117" s="453"/>
      <c r="D117" s="453"/>
      <c r="E117" s="453"/>
      <c r="F117" s="453"/>
      <c r="G117" s="453"/>
      <c r="H117" s="453"/>
      <c r="I117" s="453"/>
      <c r="J117" s="453"/>
      <c r="K117" s="453"/>
      <c r="L117" s="453"/>
      <c r="M117" s="453"/>
      <c r="N117" s="453"/>
      <c r="O117" s="453"/>
      <c r="P117" s="453"/>
      <c r="Q117" s="453"/>
      <c r="R117" s="453"/>
      <c r="S117" s="453"/>
      <c r="T117" s="454"/>
    </row>
    <row r="118" spans="1:20" x14ac:dyDescent="0.25">
      <c r="A118" s="452"/>
      <c r="B118" s="453"/>
      <c r="C118" s="453"/>
      <c r="D118" s="453"/>
      <c r="E118" s="453"/>
      <c r="F118" s="453"/>
      <c r="G118" s="453"/>
      <c r="H118" s="453"/>
      <c r="I118" s="453"/>
      <c r="J118" s="453"/>
      <c r="K118" s="453"/>
      <c r="L118" s="453"/>
      <c r="M118" s="453"/>
      <c r="N118" s="453"/>
      <c r="O118" s="453"/>
      <c r="P118" s="453"/>
      <c r="Q118" s="453"/>
      <c r="R118" s="453"/>
      <c r="S118" s="453"/>
      <c r="T118" s="454"/>
    </row>
    <row r="119" spans="1:20" ht="13" thickBot="1" x14ac:dyDescent="0.3">
      <c r="A119" s="455"/>
      <c r="B119" s="456"/>
      <c r="C119" s="456"/>
      <c r="D119" s="456"/>
      <c r="E119" s="456"/>
      <c r="F119" s="456"/>
      <c r="G119" s="456"/>
      <c r="H119" s="456"/>
      <c r="I119" s="456"/>
      <c r="J119" s="456"/>
      <c r="K119" s="456"/>
      <c r="L119" s="456"/>
      <c r="M119" s="456"/>
      <c r="N119" s="456"/>
      <c r="O119" s="456"/>
      <c r="P119" s="456"/>
      <c r="Q119" s="456"/>
      <c r="R119" s="456"/>
      <c r="S119" s="456"/>
      <c r="T119" s="457"/>
    </row>
    <row r="120" spans="1:20" ht="13" x14ac:dyDescent="0.3">
      <c r="A120" s="3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5"/>
      <c r="Q120" s="6" t="s">
        <v>279</v>
      </c>
      <c r="R120" s="7"/>
      <c r="S120" s="8"/>
      <c r="T120" s="9"/>
    </row>
    <row r="121" spans="1:20" ht="20" x14ac:dyDescent="0.4">
      <c r="A121" s="11"/>
      <c r="B121" s="12" t="s">
        <v>0</v>
      </c>
      <c r="C121" s="13"/>
      <c r="D121" s="14"/>
      <c r="E121" s="14"/>
      <c r="F121" s="15"/>
      <c r="G121" s="15"/>
      <c r="H121" s="16"/>
      <c r="I121" s="16"/>
      <c r="J121" s="16"/>
      <c r="K121" s="16"/>
      <c r="L121" s="16"/>
      <c r="M121" s="16"/>
      <c r="N121" s="16"/>
      <c r="O121" s="17"/>
      <c r="P121" s="18"/>
      <c r="Q121" s="19">
        <f>Q2</f>
        <v>42535</v>
      </c>
      <c r="R121" s="20"/>
      <c r="S121" s="21"/>
      <c r="T121" s="22"/>
    </row>
    <row r="122" spans="1:20" ht="13" x14ac:dyDescent="0.3">
      <c r="A122" s="23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5"/>
      <c r="Q122" s="26" t="s">
        <v>140</v>
      </c>
      <c r="R122" s="27"/>
      <c r="S122" s="28"/>
      <c r="T122" s="29"/>
    </row>
    <row r="123" spans="1:20" ht="13" x14ac:dyDescent="0.3">
      <c r="A123" s="30"/>
      <c r="B123" s="31" t="s">
        <v>2</v>
      </c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3" t="s">
        <v>3</v>
      </c>
      <c r="R123" s="34"/>
      <c r="S123" s="35"/>
      <c r="T123" s="36"/>
    </row>
    <row r="124" spans="1:20" ht="13" x14ac:dyDescent="0.3">
      <c r="A124" s="30"/>
      <c r="B124" s="31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19" t="s">
        <v>4</v>
      </c>
      <c r="R124" s="37"/>
      <c r="S124" s="38"/>
      <c r="T124" s="39"/>
    </row>
    <row r="125" spans="1:20" ht="13" x14ac:dyDescent="0.3">
      <c r="A125" s="30"/>
      <c r="B125" s="31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3" t="s">
        <v>218</v>
      </c>
      <c r="R125" s="34"/>
      <c r="S125" s="35"/>
      <c r="T125" s="36"/>
    </row>
    <row r="126" spans="1:20" ht="13" x14ac:dyDescent="0.3">
      <c r="A126" s="186"/>
      <c r="B126" s="227"/>
      <c r="C126" s="166"/>
      <c r="D126" s="166"/>
      <c r="E126" s="166"/>
      <c r="F126" s="166"/>
      <c r="G126" s="166"/>
      <c r="H126" s="166"/>
      <c r="I126" s="166"/>
      <c r="J126" s="166"/>
      <c r="K126" s="166"/>
      <c r="L126" s="166"/>
      <c r="M126" s="166"/>
      <c r="N126" s="166"/>
      <c r="O126" s="166"/>
      <c r="P126" s="166"/>
      <c r="Q126" s="19" t="s">
        <v>219</v>
      </c>
      <c r="R126" s="37"/>
      <c r="S126" s="38"/>
      <c r="T126" s="39"/>
    </row>
    <row r="127" spans="1:20" x14ac:dyDescent="0.25">
      <c r="A127" s="30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44"/>
    </row>
    <row r="128" spans="1:20" ht="13" x14ac:dyDescent="0.3">
      <c r="A128" s="30"/>
      <c r="B128" s="107" t="s">
        <v>141</v>
      </c>
      <c r="C128" s="32"/>
      <c r="D128" s="32"/>
      <c r="E128" s="32"/>
      <c r="F128" s="32"/>
      <c r="G128" s="32"/>
      <c r="H128" s="32"/>
      <c r="I128" s="32"/>
      <c r="J128" s="32" t="s">
        <v>142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44"/>
    </row>
    <row r="129" spans="1:20" x14ac:dyDescent="0.25">
      <c r="A129" s="30"/>
      <c r="B129" s="32"/>
      <c r="C129" s="32"/>
      <c r="D129" s="32"/>
      <c r="E129" s="32"/>
      <c r="F129" s="32"/>
      <c r="G129" s="32"/>
      <c r="H129" s="32"/>
      <c r="I129" s="32"/>
      <c r="J129" s="231" t="s">
        <v>143</v>
      </c>
      <c r="K129" s="32"/>
      <c r="L129" s="32"/>
      <c r="M129" s="32" t="s">
        <v>144</v>
      </c>
      <c r="N129" s="32"/>
      <c r="O129" s="32"/>
      <c r="P129" s="32"/>
      <c r="Q129" s="32"/>
      <c r="R129" s="32"/>
      <c r="S129" s="32"/>
      <c r="T129" s="44"/>
    </row>
    <row r="130" spans="1:20" x14ac:dyDescent="0.25">
      <c r="A130" s="30"/>
      <c r="B130" s="32"/>
      <c r="C130" s="32"/>
      <c r="D130" s="32"/>
      <c r="E130" s="32"/>
      <c r="F130" s="32"/>
      <c r="G130" s="32"/>
      <c r="H130" s="32"/>
      <c r="I130" s="32"/>
      <c r="J130" s="231" t="s">
        <v>145</v>
      </c>
      <c r="K130" s="32"/>
      <c r="L130" s="32"/>
      <c r="M130" s="32" t="s">
        <v>146</v>
      </c>
      <c r="N130" s="32"/>
      <c r="O130" s="32"/>
      <c r="P130" s="32"/>
      <c r="Q130" s="32"/>
      <c r="R130" s="32"/>
      <c r="S130" s="32"/>
      <c r="T130" s="44"/>
    </row>
    <row r="131" spans="1:20" x14ac:dyDescent="0.25">
      <c r="A131" s="30"/>
      <c r="B131" s="32"/>
      <c r="C131" s="32"/>
      <c r="D131" s="32"/>
      <c r="E131" s="32"/>
      <c r="F131" s="32"/>
      <c r="G131" s="32"/>
      <c r="H131" s="32"/>
      <c r="I131" s="32"/>
      <c r="J131" s="54"/>
      <c r="K131" s="54"/>
      <c r="L131" s="32"/>
      <c r="M131" s="32"/>
      <c r="N131" s="32"/>
      <c r="O131" s="32"/>
      <c r="P131" s="32"/>
      <c r="Q131" s="32"/>
      <c r="R131" s="32"/>
      <c r="S131" s="32"/>
      <c r="T131" s="44"/>
    </row>
    <row r="132" spans="1:20" ht="13" thickBot="1" x14ac:dyDescent="0.3">
      <c r="A132" s="30"/>
      <c r="B132" s="32"/>
      <c r="C132" s="32"/>
      <c r="D132" s="32"/>
      <c r="E132" s="32"/>
      <c r="F132" s="32"/>
      <c r="G132" s="32"/>
      <c r="H132" s="32"/>
      <c r="I132" s="32"/>
      <c r="J132" s="54"/>
      <c r="K132" s="54"/>
      <c r="L132" s="32"/>
      <c r="M132" s="32"/>
      <c r="N132" s="32"/>
      <c r="O132" s="54"/>
      <c r="P132" s="54"/>
      <c r="S132" s="54"/>
      <c r="T132" s="44"/>
    </row>
    <row r="133" spans="1:20" ht="13.5" x14ac:dyDescent="0.35">
      <c r="A133" s="30"/>
      <c r="B133" s="107" t="s">
        <v>147</v>
      </c>
      <c r="C133" s="32"/>
      <c r="D133" s="520">
        <f>IF(H135&gt;110,((0.5*110/H135)*F140/100),(0.5/110*H135*F140/100))</f>
        <v>0.44</v>
      </c>
      <c r="E133" s="32" t="s">
        <v>225</v>
      </c>
      <c r="G133" s="43"/>
      <c r="H133" s="32"/>
      <c r="I133" s="54"/>
      <c r="J133" s="54" t="s">
        <v>148</v>
      </c>
      <c r="K133" s="54"/>
      <c r="L133" s="32"/>
      <c r="M133" s="32"/>
      <c r="N133" s="32"/>
      <c r="O133" s="54" t="s">
        <v>149</v>
      </c>
      <c r="P133" s="54"/>
      <c r="Q133" s="54">
        <f>Q134</f>
        <v>4.05</v>
      </c>
      <c r="R133" s="54" t="s">
        <v>227</v>
      </c>
      <c r="S133" s="54"/>
      <c r="T133" s="44"/>
    </row>
    <row r="134" spans="1:20" ht="13.5" x14ac:dyDescent="0.35">
      <c r="A134" s="30"/>
      <c r="B134" s="32"/>
      <c r="C134" s="32"/>
      <c r="D134" s="32"/>
      <c r="E134" s="32"/>
      <c r="F134" s="32"/>
      <c r="G134" s="232"/>
      <c r="H134" s="55"/>
      <c r="I134" s="54"/>
      <c r="J134" s="54" t="s">
        <v>150</v>
      </c>
      <c r="K134" s="54"/>
      <c r="L134" s="32"/>
      <c r="M134" s="32"/>
      <c r="N134" s="32"/>
      <c r="O134" s="54" t="s">
        <v>151</v>
      </c>
      <c r="P134" s="54"/>
      <c r="Q134" s="54">
        <f>D135*H135*G138*F140/1000000</f>
        <v>4.05</v>
      </c>
      <c r="R134" s="54" t="s">
        <v>227</v>
      </c>
      <c r="S134" s="54"/>
      <c r="T134" s="44"/>
    </row>
    <row r="135" spans="1:20" ht="13.5" x14ac:dyDescent="0.35">
      <c r="A135" s="30"/>
      <c r="B135" s="32"/>
      <c r="C135" s="233" t="s">
        <v>152</v>
      </c>
      <c r="D135" s="541">
        <v>27</v>
      </c>
      <c r="E135" s="204" t="s">
        <v>269</v>
      </c>
      <c r="F135" s="32"/>
      <c r="G135" s="232"/>
      <c r="H135" s="542">
        <v>125</v>
      </c>
      <c r="I135" s="54"/>
      <c r="J135" s="54"/>
      <c r="K135" s="54"/>
      <c r="L135" s="204" t="s">
        <v>241</v>
      </c>
      <c r="M135" s="44" t="s">
        <v>246</v>
      </c>
      <c r="N135" s="32"/>
      <c r="O135" s="204" t="s">
        <v>247</v>
      </c>
      <c r="P135" s="54"/>
      <c r="Q135" s="237">
        <f>D133*H135/100*1.5</f>
        <v>0.82500000000000007</v>
      </c>
      <c r="R135" s="54" t="s">
        <v>228</v>
      </c>
      <c r="S135" s="204"/>
      <c r="T135" s="44"/>
    </row>
    <row r="136" spans="1:20" ht="13.5" x14ac:dyDescent="0.35">
      <c r="A136" s="30"/>
      <c r="B136" s="32"/>
      <c r="C136" s="32"/>
      <c r="D136" s="32"/>
      <c r="E136" s="32"/>
      <c r="F136" s="32"/>
      <c r="G136" s="232"/>
      <c r="H136" s="55"/>
      <c r="I136" s="54" t="s">
        <v>88</v>
      </c>
      <c r="J136" s="54"/>
      <c r="K136" s="54"/>
      <c r="L136" s="32"/>
      <c r="M136" s="32"/>
      <c r="N136" s="32"/>
      <c r="O136" s="54" t="s">
        <v>153</v>
      </c>
      <c r="P136" s="54"/>
      <c r="Q136" s="234">
        <f>Q135/Q134*100/G138</f>
        <v>1.6975308641975311</v>
      </c>
      <c r="R136" s="235" t="s">
        <v>154</v>
      </c>
      <c r="S136" s="234">
        <f>1/3</f>
        <v>0.33333333333333331</v>
      </c>
      <c r="T136" s="44"/>
    </row>
    <row r="137" spans="1:20" x14ac:dyDescent="0.25">
      <c r="A137" s="30"/>
      <c r="B137" s="32"/>
      <c r="C137" s="32"/>
      <c r="D137" s="32"/>
      <c r="E137" s="32"/>
      <c r="F137" s="32"/>
      <c r="G137" s="232"/>
      <c r="H137" s="55"/>
      <c r="I137" s="54"/>
      <c r="J137" s="54"/>
      <c r="K137" s="54"/>
      <c r="L137" s="54"/>
      <c r="M137" s="54"/>
      <c r="N137" s="54"/>
      <c r="O137" s="54"/>
      <c r="P137" s="32"/>
      <c r="Q137" s="32"/>
      <c r="R137" s="32"/>
      <c r="S137" s="32"/>
      <c r="T137" s="44"/>
    </row>
    <row r="138" spans="1:20" ht="14" thickBot="1" x14ac:dyDescent="0.4">
      <c r="A138" s="30"/>
      <c r="B138" s="32"/>
      <c r="C138" s="32"/>
      <c r="D138" s="32"/>
      <c r="E138" s="61" t="s">
        <v>9</v>
      </c>
      <c r="F138" s="100"/>
      <c r="G138" s="543">
        <v>12</v>
      </c>
      <c r="H138" s="236" t="s">
        <v>155</v>
      </c>
      <c r="I138" s="54"/>
      <c r="J138" s="54" t="s">
        <v>156</v>
      </c>
      <c r="K138" s="54"/>
      <c r="L138" s="32"/>
      <c r="M138" s="32"/>
      <c r="N138" s="32"/>
      <c r="O138" s="54" t="s">
        <v>157</v>
      </c>
      <c r="P138" s="54"/>
      <c r="Q138" s="237">
        <f>Q135</f>
        <v>0.82500000000000007</v>
      </c>
      <c r="R138" s="54" t="s">
        <v>228</v>
      </c>
      <c r="S138" s="32"/>
      <c r="T138" s="44"/>
    </row>
    <row r="139" spans="1:20" ht="13.5" x14ac:dyDescent="0.35">
      <c r="A139" s="30"/>
      <c r="B139" s="32"/>
      <c r="C139" s="32"/>
      <c r="D139" s="32"/>
      <c r="E139" s="32"/>
      <c r="F139" s="32"/>
      <c r="G139" s="55" t="s">
        <v>158</v>
      </c>
      <c r="H139" s="32"/>
      <c r="I139" s="54"/>
      <c r="J139" s="54" t="s">
        <v>159</v>
      </c>
      <c r="K139" s="54"/>
      <c r="L139" s="32"/>
      <c r="M139" s="32"/>
      <c r="N139" s="32"/>
      <c r="O139" s="54" t="s">
        <v>160</v>
      </c>
      <c r="P139" s="54"/>
      <c r="Q139" s="54">
        <f>Q134*G138/200</f>
        <v>0.24299999999999997</v>
      </c>
      <c r="R139" s="54" t="s">
        <v>228</v>
      </c>
      <c r="S139" s="32"/>
      <c r="T139" s="44"/>
    </row>
    <row r="140" spans="1:20" ht="13.5" x14ac:dyDescent="0.35">
      <c r="A140" s="30"/>
      <c r="B140" s="32"/>
      <c r="C140" s="32"/>
      <c r="D140" s="32"/>
      <c r="E140" s="32" t="s">
        <v>226</v>
      </c>
      <c r="F140" s="544">
        <v>100</v>
      </c>
      <c r="G140" s="32" t="s">
        <v>20</v>
      </c>
      <c r="H140" s="32"/>
      <c r="I140" s="54"/>
      <c r="J140" s="54"/>
      <c r="K140" s="54"/>
      <c r="L140" s="32"/>
      <c r="M140" s="32"/>
      <c r="N140" s="238"/>
      <c r="O140" s="238"/>
      <c r="P140" s="490" t="s">
        <v>248</v>
      </c>
      <c r="Q140" s="237">
        <f>Q138-Q139</f>
        <v>0.58200000000000007</v>
      </c>
      <c r="R140" s="54" t="s">
        <v>228</v>
      </c>
      <c r="S140" s="32"/>
      <c r="T140" s="44"/>
    </row>
    <row r="141" spans="1:20" x14ac:dyDescent="0.25">
      <c r="A141" s="30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44"/>
    </row>
    <row r="142" spans="1:20" ht="13" thickBot="1" x14ac:dyDescent="0.3">
      <c r="A142" s="30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44"/>
    </row>
    <row r="143" spans="1:20" ht="13.5" x14ac:dyDescent="0.35">
      <c r="A143" s="30"/>
      <c r="B143" s="107" t="s">
        <v>161</v>
      </c>
      <c r="C143" s="32"/>
      <c r="D143" s="520">
        <f>IF((H145+H150)&gt;110,((0.5*110/(H145+H150))*F153/100),(0.5/110*(H145+H150)*F153/100))</f>
        <v>0.36666666666666664</v>
      </c>
      <c r="E143" s="245" t="s">
        <v>225</v>
      </c>
      <c r="F143" s="32"/>
      <c r="G143" s="43"/>
      <c r="H143" s="32"/>
      <c r="I143" s="54"/>
      <c r="J143" s="54" t="s">
        <v>148</v>
      </c>
      <c r="K143" s="32"/>
      <c r="L143" s="32"/>
      <c r="M143" s="32"/>
      <c r="N143" s="32"/>
      <c r="O143" s="54" t="s">
        <v>149</v>
      </c>
      <c r="P143" s="54"/>
      <c r="Q143" s="54">
        <f>D145*G148*H145*F153/1000000</f>
        <v>4.05</v>
      </c>
      <c r="R143" s="54" t="s">
        <v>227</v>
      </c>
      <c r="S143" s="32"/>
      <c r="T143" s="44"/>
    </row>
    <row r="144" spans="1:20" ht="13.5" x14ac:dyDescent="0.35">
      <c r="A144" s="30"/>
      <c r="B144" s="32"/>
      <c r="C144" s="32"/>
      <c r="D144" s="32"/>
      <c r="E144" s="32"/>
      <c r="F144" s="32"/>
      <c r="G144" s="232"/>
      <c r="H144" s="55"/>
      <c r="I144" s="54"/>
      <c r="J144" s="54" t="s">
        <v>150</v>
      </c>
      <c r="K144" s="32"/>
      <c r="L144" s="32"/>
      <c r="M144" s="32"/>
      <c r="N144" s="32"/>
      <c r="O144" s="54" t="s">
        <v>162</v>
      </c>
      <c r="P144" s="54"/>
      <c r="Q144" s="237">
        <f>D145*F151*H150*F153/1000000</f>
        <v>1.6875</v>
      </c>
      <c r="R144" s="54" t="s">
        <v>227</v>
      </c>
      <c r="S144" s="54"/>
      <c r="T144" s="44"/>
    </row>
    <row r="145" spans="1:22" ht="13.5" x14ac:dyDescent="0.35">
      <c r="A145" s="30"/>
      <c r="B145" s="32"/>
      <c r="C145" s="233" t="s">
        <v>152</v>
      </c>
      <c r="D145" s="541">
        <v>27</v>
      </c>
      <c r="E145" s="204" t="s">
        <v>269</v>
      </c>
      <c r="F145" s="32"/>
      <c r="G145" s="232"/>
      <c r="H145" s="542">
        <v>125</v>
      </c>
      <c r="I145" s="54"/>
      <c r="J145" s="32"/>
      <c r="K145" s="32"/>
      <c r="L145" s="32"/>
      <c r="M145" s="539"/>
      <c r="N145" s="32"/>
      <c r="O145" s="54" t="s">
        <v>163</v>
      </c>
      <c r="P145" s="54"/>
      <c r="Q145" s="54">
        <f>Q143*(F151-G148/2)/100</f>
        <v>0.76950000000000007</v>
      </c>
      <c r="R145" s="54" t="s">
        <v>228</v>
      </c>
      <c r="S145" s="54"/>
      <c r="T145" s="44"/>
    </row>
    <row r="146" spans="1:22" x14ac:dyDescent="0.25">
      <c r="A146" s="30"/>
      <c r="B146" s="32"/>
      <c r="C146" s="32"/>
      <c r="D146" s="32"/>
      <c r="E146" s="32"/>
      <c r="F146" s="32"/>
      <c r="G146" s="232"/>
      <c r="H146" s="55"/>
      <c r="I146" s="54" t="s">
        <v>88</v>
      </c>
      <c r="J146" s="32"/>
      <c r="K146" s="32"/>
      <c r="L146" s="32"/>
      <c r="M146" s="32"/>
      <c r="N146" s="32"/>
      <c r="O146" s="54" t="s">
        <v>164</v>
      </c>
      <c r="P146" s="54"/>
      <c r="Q146" s="239">
        <f>Q143+Q144</f>
        <v>5.7374999999999998</v>
      </c>
      <c r="R146" s="54" t="s">
        <v>227</v>
      </c>
      <c r="S146" s="54"/>
      <c r="T146" s="44"/>
      <c r="V146" s="540"/>
    </row>
    <row r="147" spans="1:22" ht="13.5" x14ac:dyDescent="0.35">
      <c r="A147" s="30"/>
      <c r="B147" s="32"/>
      <c r="C147" s="32"/>
      <c r="D147" s="32"/>
      <c r="E147" s="32"/>
      <c r="F147" s="32"/>
      <c r="G147" s="232"/>
      <c r="H147" s="55"/>
      <c r="I147" s="54" t="s">
        <v>89</v>
      </c>
      <c r="J147" s="32"/>
      <c r="K147" s="32"/>
      <c r="L147" s="204" t="s">
        <v>241</v>
      </c>
      <c r="M147" s="44" t="s">
        <v>246</v>
      </c>
      <c r="N147" s="32"/>
      <c r="O147" s="204" t="s">
        <v>247</v>
      </c>
      <c r="P147" s="54"/>
      <c r="Q147" s="54">
        <f>D143*(H150+H145)/100*1.5+Q145</f>
        <v>1.5945</v>
      </c>
      <c r="R147" s="54" t="s">
        <v>228</v>
      </c>
      <c r="S147" s="204"/>
      <c r="T147" s="44"/>
    </row>
    <row r="148" spans="1:22" ht="14" thickBot="1" x14ac:dyDescent="0.4">
      <c r="A148" s="30"/>
      <c r="B148" s="32"/>
      <c r="C148" s="54" t="s">
        <v>9</v>
      </c>
      <c r="D148" s="32"/>
      <c r="E148" s="32"/>
      <c r="F148" s="100"/>
      <c r="G148" s="543">
        <v>12</v>
      </c>
      <c r="H148" s="32"/>
      <c r="I148" s="54"/>
      <c r="J148" s="32"/>
      <c r="K148" s="32"/>
      <c r="L148" s="32"/>
      <c r="M148" s="32"/>
      <c r="N148" s="32"/>
      <c r="O148" s="54" t="s">
        <v>165</v>
      </c>
      <c r="P148" s="54"/>
      <c r="Q148" s="234">
        <f>Q147/Q146*100/F151</f>
        <v>1.1116339869281047</v>
      </c>
      <c r="R148" s="235" t="s">
        <v>154</v>
      </c>
      <c r="S148" s="234">
        <f>1/3</f>
        <v>0.33333333333333331</v>
      </c>
      <c r="T148" s="44"/>
    </row>
    <row r="149" spans="1:22" x14ac:dyDescent="0.25">
      <c r="A149" s="30"/>
      <c r="B149" s="32"/>
      <c r="C149" s="32"/>
      <c r="D149" s="32"/>
      <c r="E149" s="3"/>
      <c r="F149" s="4"/>
      <c r="G149" s="240"/>
      <c r="H149" s="32"/>
      <c r="I149" s="54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44"/>
    </row>
    <row r="150" spans="1:22" ht="13.5" x14ac:dyDescent="0.35">
      <c r="A150" s="30"/>
      <c r="B150" s="32"/>
      <c r="C150" s="32"/>
      <c r="D150" s="32"/>
      <c r="E150" s="241"/>
      <c r="F150" s="13"/>
      <c r="G150" s="242"/>
      <c r="H150" s="545">
        <v>25</v>
      </c>
      <c r="I150" s="54"/>
      <c r="J150" s="54" t="s">
        <v>156</v>
      </c>
      <c r="K150" s="32"/>
      <c r="L150" s="32"/>
      <c r="M150" s="32"/>
      <c r="N150" s="54"/>
      <c r="O150" s="54" t="s">
        <v>157</v>
      </c>
      <c r="P150" s="54"/>
      <c r="Q150" s="237">
        <f>D143*(H145+H150)/100*1.5</f>
        <v>0.82499999999999996</v>
      </c>
      <c r="R150" s="54" t="s">
        <v>228</v>
      </c>
      <c r="S150" s="32"/>
      <c r="T150" s="44"/>
    </row>
    <row r="151" spans="1:22" ht="14" thickBot="1" x14ac:dyDescent="0.4">
      <c r="A151" s="30"/>
      <c r="B151" s="32"/>
      <c r="C151" s="61" t="s">
        <v>13</v>
      </c>
      <c r="D151" s="100"/>
      <c r="E151" s="79"/>
      <c r="F151" s="546">
        <v>25</v>
      </c>
      <c r="G151" s="243"/>
      <c r="H151" s="100"/>
      <c r="I151" s="54"/>
      <c r="J151" s="54" t="s">
        <v>159</v>
      </c>
      <c r="K151" s="32"/>
      <c r="L151" s="32"/>
      <c r="M151" s="32"/>
      <c r="N151" s="54"/>
      <c r="O151" s="54" t="s">
        <v>160</v>
      </c>
      <c r="P151" s="54"/>
      <c r="Q151" s="54">
        <f>Q143*G148/200+Q144*F151/200</f>
        <v>0.45393749999999999</v>
      </c>
      <c r="R151" s="54" t="s">
        <v>228</v>
      </c>
      <c r="S151" s="32"/>
      <c r="T151" s="44"/>
    </row>
    <row r="152" spans="1:22" ht="13.5" x14ac:dyDescent="0.35">
      <c r="A152" s="30"/>
      <c r="B152" s="32"/>
      <c r="C152" s="32"/>
      <c r="D152" s="32"/>
      <c r="E152" s="32"/>
      <c r="F152" s="55" t="s">
        <v>158</v>
      </c>
      <c r="G152" s="32"/>
      <c r="H152" s="184" t="s">
        <v>155</v>
      </c>
      <c r="I152" s="54"/>
      <c r="J152" s="54"/>
      <c r="K152" s="54"/>
      <c r="L152" s="54"/>
      <c r="M152" s="54"/>
      <c r="N152" s="54"/>
      <c r="O152" s="54"/>
      <c r="P152" s="490" t="s">
        <v>249</v>
      </c>
      <c r="Q152" s="237">
        <f>Q150-Q151</f>
        <v>0.37106249999999996</v>
      </c>
      <c r="R152" s="54" t="s">
        <v>228</v>
      </c>
      <c r="S152" s="32"/>
      <c r="T152" s="44"/>
    </row>
    <row r="153" spans="1:22" ht="13" x14ac:dyDescent="0.3">
      <c r="A153" s="30"/>
      <c r="B153" s="32"/>
      <c r="C153" s="32"/>
      <c r="D153" s="32"/>
      <c r="E153" s="32" t="s">
        <v>229</v>
      </c>
      <c r="F153" s="544">
        <v>100</v>
      </c>
      <c r="G153" s="32" t="s">
        <v>20</v>
      </c>
      <c r="H153" s="32"/>
      <c r="I153" s="32"/>
      <c r="J153" s="32"/>
      <c r="K153" s="54"/>
      <c r="L153" s="54"/>
      <c r="M153" s="54"/>
      <c r="N153" s="32"/>
      <c r="O153" s="32"/>
      <c r="P153" s="32"/>
      <c r="Q153" s="32"/>
      <c r="R153" s="32"/>
      <c r="S153" s="32"/>
      <c r="T153" s="44"/>
    </row>
    <row r="154" spans="1:22" x14ac:dyDescent="0.25">
      <c r="A154" s="30"/>
      <c r="B154" s="32" t="s">
        <v>166</v>
      </c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44"/>
    </row>
    <row r="155" spans="1:22" x14ac:dyDescent="0.25">
      <c r="A155" s="30"/>
      <c r="B155" s="32" t="s">
        <v>167</v>
      </c>
      <c r="C155" s="32"/>
      <c r="D155" s="32"/>
      <c r="E155" s="32"/>
      <c r="F155" s="32"/>
      <c r="G155" s="32"/>
      <c r="H155" s="32"/>
      <c r="I155" s="32"/>
      <c r="J155" s="539"/>
      <c r="K155" s="32"/>
      <c r="L155" s="32"/>
      <c r="M155" s="32"/>
      <c r="N155" s="32"/>
      <c r="O155" s="32"/>
      <c r="P155" s="539"/>
      <c r="Q155" s="32"/>
      <c r="R155" s="32"/>
      <c r="S155" s="32"/>
      <c r="T155" s="44"/>
    </row>
    <row r="156" spans="1:22" x14ac:dyDescent="0.25">
      <c r="A156" s="30"/>
      <c r="B156" s="32" t="s">
        <v>168</v>
      </c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44"/>
    </row>
    <row r="157" spans="1:22" x14ac:dyDescent="0.25">
      <c r="A157" s="30"/>
      <c r="B157" s="32" t="s">
        <v>169</v>
      </c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44"/>
    </row>
    <row r="158" spans="1:22" x14ac:dyDescent="0.25">
      <c r="A158" s="30"/>
      <c r="B158" s="32" t="s">
        <v>170</v>
      </c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44"/>
    </row>
    <row r="159" spans="1:22" ht="13" thickBot="1" x14ac:dyDescent="0.3">
      <c r="A159" s="30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44"/>
    </row>
    <row r="160" spans="1:22" ht="16" thickBot="1" x14ac:dyDescent="0.4">
      <c r="A160" s="30"/>
      <c r="B160" s="46" t="s">
        <v>43</v>
      </c>
      <c r="C160" s="47"/>
      <c r="D160" s="47"/>
      <c r="E160" s="47"/>
      <c r="F160" s="47"/>
      <c r="G160" s="47"/>
      <c r="H160" s="47"/>
      <c r="I160" s="48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44"/>
    </row>
    <row r="161" spans="1:20" x14ac:dyDescent="0.25">
      <c r="A161" s="30"/>
      <c r="B161" s="51" t="s">
        <v>44</v>
      </c>
      <c r="C161" s="52"/>
      <c r="D161" s="53" t="s">
        <v>45</v>
      </c>
      <c r="E161" s="54"/>
      <c r="F161" s="54"/>
      <c r="G161" s="54"/>
      <c r="H161" s="54"/>
      <c r="I161" s="44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44"/>
    </row>
    <row r="162" spans="1:20" x14ac:dyDescent="0.25">
      <c r="A162" s="30"/>
      <c r="B162" s="51" t="s">
        <v>49</v>
      </c>
      <c r="C162" s="52"/>
      <c r="D162" s="53" t="s">
        <v>50</v>
      </c>
      <c r="E162" s="54"/>
      <c r="F162" s="54"/>
      <c r="G162" s="54"/>
      <c r="H162" s="54"/>
      <c r="I162" s="44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44"/>
    </row>
    <row r="163" spans="1:20" ht="13" thickBot="1" x14ac:dyDescent="0.3">
      <c r="A163" s="30"/>
      <c r="B163" s="58" t="s">
        <v>54</v>
      </c>
      <c r="C163" s="59"/>
      <c r="D163" s="60" t="s">
        <v>55</v>
      </c>
      <c r="E163" s="61"/>
      <c r="F163" s="61"/>
      <c r="G163" s="61"/>
      <c r="H163" s="61"/>
      <c r="I163" s="6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44"/>
    </row>
    <row r="164" spans="1:20" x14ac:dyDescent="0.25">
      <c r="A164" s="30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44"/>
    </row>
    <row r="165" spans="1:20" x14ac:dyDescent="0.25">
      <c r="A165" s="30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44"/>
    </row>
    <row r="166" spans="1:20" x14ac:dyDescent="0.25">
      <c r="A166" s="30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44"/>
    </row>
    <row r="167" spans="1:20" x14ac:dyDescent="0.25">
      <c r="A167" s="30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44"/>
    </row>
    <row r="168" spans="1:20" x14ac:dyDescent="0.25">
      <c r="A168" s="30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44"/>
    </row>
    <row r="169" spans="1:20" x14ac:dyDescent="0.25">
      <c r="A169" s="30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44"/>
    </row>
    <row r="170" spans="1:20" x14ac:dyDescent="0.25">
      <c r="A170" s="30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44"/>
    </row>
    <row r="171" spans="1:20" x14ac:dyDescent="0.25">
      <c r="A171" s="30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44"/>
    </row>
    <row r="172" spans="1:20" x14ac:dyDescent="0.25">
      <c r="A172" s="30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44"/>
    </row>
    <row r="173" spans="1:20" x14ac:dyDescent="0.25">
      <c r="A173" s="30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44"/>
    </row>
    <row r="174" spans="1:20" x14ac:dyDescent="0.25">
      <c r="A174" s="30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44"/>
    </row>
    <row r="175" spans="1:20" x14ac:dyDescent="0.25">
      <c r="A175" s="30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44"/>
    </row>
    <row r="176" spans="1:20" x14ac:dyDescent="0.25">
      <c r="A176" s="30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44"/>
    </row>
    <row r="177" spans="1:20" x14ac:dyDescent="0.25">
      <c r="A177" s="30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44"/>
    </row>
    <row r="178" spans="1:20" ht="13" thickBot="1" x14ac:dyDescent="0.3">
      <c r="A178" s="171"/>
      <c r="B178" s="100"/>
      <c r="C178" s="100"/>
      <c r="D178" s="100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00"/>
      <c r="P178" s="100"/>
      <c r="Q178" s="100"/>
      <c r="R178" s="100"/>
      <c r="S178" s="100"/>
      <c r="T178" s="62"/>
    </row>
  </sheetData>
  <sheetProtection algorithmName="SHA-512" hashValue="z5gQsPi4fRLWoEpp/8T2h+4rh8gmrdlX55GD4cwns6N8R7yXHTTJYtfvM1HGwCqtAk8VK+uwanNFc03MgPY1MA==" saltValue="r5TWmQ8atWPT8G/L4nIxLw==" spinCount="100000" sheet="1" objects="1" scenarios="1" selectLockedCells="1"/>
  <pageMargins left="0.78740157480314965" right="0.19685039370078741" top="0.78740157480314965" bottom="0.39370078740157483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9F2D8-0BA6-41C4-86D2-401CB33B3E6A}">
  <dimension ref="A2:B28"/>
  <sheetViews>
    <sheetView workbookViewId="0">
      <selection sqref="A1:XFD1048576"/>
    </sheetView>
  </sheetViews>
  <sheetFormatPr baseColWidth="10" defaultRowHeight="12.5" x14ac:dyDescent="0.25"/>
  <cols>
    <col min="1" max="1" width="8.7265625" customWidth="1"/>
    <col min="2" max="2" width="68.36328125" customWidth="1"/>
  </cols>
  <sheetData>
    <row r="2" spans="1:2" ht="20" x14ac:dyDescent="0.4">
      <c r="B2" s="535" t="s">
        <v>306</v>
      </c>
    </row>
    <row r="3" spans="1:2" ht="13.5" customHeight="1" x14ac:dyDescent="0.4">
      <c r="B3" s="535"/>
    </row>
    <row r="4" spans="1:2" ht="13" x14ac:dyDescent="0.25">
      <c r="B4" s="538" t="s">
        <v>312</v>
      </c>
    </row>
    <row r="5" spans="1:2" ht="13" thickBot="1" x14ac:dyDescent="0.3"/>
    <row r="6" spans="1:2" ht="14.5" customHeight="1" x14ac:dyDescent="0.25">
      <c r="A6" s="580" t="s">
        <v>295</v>
      </c>
      <c r="B6" s="580"/>
    </row>
    <row r="7" spans="1:2" ht="13" thickBot="1" x14ac:dyDescent="0.3">
      <c r="A7" s="581"/>
      <c r="B7" s="581"/>
    </row>
    <row r="8" spans="1:2" ht="13" thickBot="1" x14ac:dyDescent="0.3">
      <c r="A8" s="526">
        <v>0</v>
      </c>
      <c r="B8" s="527" t="s">
        <v>296</v>
      </c>
    </row>
    <row r="9" spans="1:2" ht="13" thickBot="1" x14ac:dyDescent="0.3">
      <c r="A9" s="526" t="s">
        <v>297</v>
      </c>
      <c r="B9" s="527" t="s">
        <v>298</v>
      </c>
    </row>
    <row r="10" spans="1:2" ht="23.5" thickBot="1" x14ac:dyDescent="0.3">
      <c r="A10" s="536" t="s">
        <v>299</v>
      </c>
      <c r="B10" s="537" t="s">
        <v>300</v>
      </c>
    </row>
    <row r="11" spans="1:2" ht="35" thickBot="1" x14ac:dyDescent="0.3">
      <c r="A11" s="528" t="s">
        <v>301</v>
      </c>
      <c r="B11" s="529" t="s">
        <v>302</v>
      </c>
    </row>
    <row r="12" spans="1:2" ht="23.5" thickBot="1" x14ac:dyDescent="0.3">
      <c r="A12" s="528" t="s">
        <v>303</v>
      </c>
      <c r="B12" s="529" t="s">
        <v>304</v>
      </c>
    </row>
    <row r="14" spans="1:2" x14ac:dyDescent="0.25">
      <c r="B14" t="s">
        <v>308</v>
      </c>
    </row>
    <row r="16" spans="1:2" x14ac:dyDescent="0.25">
      <c r="B16" t="s">
        <v>305</v>
      </c>
    </row>
    <row r="17" spans="2:2" x14ac:dyDescent="0.25">
      <c r="B17" s="530" t="s">
        <v>307</v>
      </c>
    </row>
    <row r="22" spans="2:2" ht="15.5" x14ac:dyDescent="0.25">
      <c r="B22" s="531" t="s">
        <v>309</v>
      </c>
    </row>
    <row r="23" spans="2:2" ht="15.5" x14ac:dyDescent="0.35">
      <c r="B23" s="532" t="s">
        <v>310</v>
      </c>
    </row>
    <row r="25" spans="2:2" ht="14" x14ac:dyDescent="0.3">
      <c r="B25" s="533" t="s">
        <v>314</v>
      </c>
    </row>
    <row r="26" spans="2:2" ht="14" x14ac:dyDescent="0.3">
      <c r="B26" s="533" t="s">
        <v>313</v>
      </c>
    </row>
    <row r="28" spans="2:2" ht="14" x14ac:dyDescent="0.3">
      <c r="B28" s="534" t="s">
        <v>311</v>
      </c>
    </row>
  </sheetData>
  <sheetProtection algorithmName="SHA-512" hashValue="sgMFXK1FIqU4egNovsq/bfHZxGqyQ6TK4i+4UkdfhjTwjynu6hqqdE12Z3G3eefz2vqT2cpIzMetsyCoOywvCg==" saltValue="aAr0H9nG2z6b9eoP6q5PzA==" spinCount="100000" sheet="1" objects="1" scenarios="1" selectLockedCells="1" selectUnlockedCells="1"/>
  <mergeCells count="2">
    <mergeCell ref="A6:A7"/>
    <mergeCell ref="B6:B7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Programm Kurz</vt:lpstr>
      <vt:lpstr>Programm Detail</vt:lpstr>
      <vt:lpstr>Erläuterung</vt:lpstr>
      <vt:lpstr>Windlasten</vt:lpstr>
    </vt:vector>
  </TitlesOfParts>
  <Company>Dipl. Ing. Robl Josef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mstein</dc:creator>
  <cp:lastModifiedBy>Roman Toth</cp:lastModifiedBy>
  <cp:lastPrinted>2018-04-15T09:18:34Z</cp:lastPrinted>
  <dcterms:created xsi:type="dcterms:W3CDTF">1999-07-07T10:14:47Z</dcterms:created>
  <dcterms:modified xsi:type="dcterms:W3CDTF">2018-04-15T15:23:31Z</dcterms:modified>
</cp:coreProperties>
</file>