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DieseArbeitsmappe"/>
  <mc:AlternateContent xmlns:mc="http://schemas.openxmlformats.org/markup-compatibility/2006">
    <mc:Choice Requires="x15">
      <x15ac:absPath xmlns:x15ac="http://schemas.microsoft.com/office/spreadsheetml/2010/11/ac" url="Y:\Daten\Dashboards\xlsx\Außenhandel\Dienstleistungen\"/>
    </mc:Choice>
  </mc:AlternateContent>
  <xr:revisionPtr revIDLastSave="0" documentId="13_ncr:1_{FAF09401-3C1B-486E-B0A7-61E1C2529AE1}" xr6:coauthVersionLast="47" xr6:coauthVersionMax="47" xr10:uidLastSave="{00000000-0000-0000-0000-000000000000}"/>
  <bookViews>
    <workbookView xWindow="-110" yWindow="-110" windowWidth="19420" windowHeight="11500" tabRatio="757" xr2:uid="{00000000-000D-0000-FFFF-FFFF00000000}"/>
  </bookViews>
  <sheets>
    <sheet name="Dashboard" sheetId="19" r:id="rId1"/>
    <sheet name="Export" sheetId="17" state="veryHidden" r:id="rId2"/>
    <sheet name="Import" sheetId="18" state="veryHidden" r:id="rId3"/>
    <sheet name="Absolut_Grafik_1_2" sheetId="20" state="veryHidden" r:id="rId4"/>
    <sheet name="Top10_Export_Import" sheetId="21" state="veryHidden" r:id="rId5"/>
    <sheet name="Dropdown" sheetId="5" state="veryHidden" r:id="rId6"/>
    <sheet name="Texte" sheetId="23" state="veryHidden" r:id="rId7"/>
  </sheets>
  <definedNames>
    <definedName name="_xlnm._FilterDatabase" localSheetId="0" hidden="1">Dashboard!$A$28:$L$37</definedName>
    <definedName name="Abfrage_von_MS_Access_Database" localSheetId="5" hidden="1">Dropdown!$A$2:$B$31</definedName>
    <definedName name="Abfrage_von_MS_Access_Database" localSheetId="1" hidden="1">Export!$A$1:$D$30</definedName>
    <definedName name="Abfrage_von_MS_Access_Database_1" localSheetId="5" hidden="1">Dropdown!$H$2:$H$33</definedName>
    <definedName name="Abfrage_von_MS_Access_Database_1" localSheetId="2" hidden="1">Import!$A$1:$D$30</definedName>
    <definedName name="Abfrage_von_MS_Access_Database_2" localSheetId="5" hidden="1">Dropdown!$M$2:$M$27</definedName>
    <definedName name="Außenhandelspartner">Dropdown!$E$3</definedName>
    <definedName name="Auswahl_Jahr">Dropdown!$J$3</definedName>
    <definedName name="Basis_Jahr">Dropdown!$O$3</definedName>
    <definedName name="BIS">Absolut_Grafik_1_2!$A$23</definedName>
    <definedName name="Diagramm_Absolut_Exporte">OFFSET(Absolut_Grafik_1_2!$E$6,,Absolut_Grafik_1_2!$A$3-Absolut_Grafik_1_2!$E$1,,Absolut_Grafik_1_2!$A$4-Absolut_Grafik_1_2!$A$3+1)</definedName>
    <definedName name="Diagramm_Absolut_Importe">OFFSET(Absolut_Grafik_1_2!$E$17,,Absolut_Grafik_1_2!$A$3-Absolut_Grafik_1_2!$E$1,,Absolut_Grafik_1_2!$A$4-Absolut_Grafik_1_2!$A$3+1)</definedName>
    <definedName name="Diagramm_Absolut_Jahreszahlen">OFFSET(Absolut_Grafik_1_2!$E$2,,Absolut_Grafik_1_2!$A$3-Absolut_Grafik_1_2!$E$1,,Absolut_Grafik_1_2!$A$4-Absolut_Grafik_1_2!$A$3+1)</definedName>
    <definedName name="Diagramm_Index_Exporte_AHP">OFFSET(Absolut_Grafik_1_2!$E$8,,Absolut_Grafik_1_2!$A$3-Absolut_Grafik_1_2!$E$1,,Absolut_Grafik_1_2!$A$4-Absolut_Grafik_1_2!$A$3+1)</definedName>
    <definedName name="Diagramm_Index_Exporte_Welt_ohne_AHP">OFFSET(Absolut_Grafik_1_2!$E$9,,Absolut_Grafik_1_2!$A$3-Absolut_Grafik_1_2!$E$1,,Absolut_Grafik_1_2!$A$4-Absolut_Grafik_1_2!$A$3+1)</definedName>
    <definedName name="Diagramm_Index_Importe_AHP">OFFSET(Absolut_Grafik_1_2!$E$19,,Absolut_Grafik_1_2!$A$3-Absolut_Grafik_1_2!$E$1,,Absolut_Grafik_1_2!$A$4-Absolut_Grafik_1_2!$A$3+1)</definedName>
    <definedName name="Diagramm_Index_Importe_Welt_ohne_AHP">OFFSET(Absolut_Grafik_1_2!$E$20,,Absolut_Grafik_1_2!$A$3-Absolut_Grafik_1_2!$E$1,,Absolut_Grafik_1_2!$A$4-Absolut_Grafik_1_2!$A$3+1)</definedName>
    <definedName name="Diagramm_Index_Jahreszahlen_Export">OFFSET(Absolut_Grafik_1_2!$E$2,,Absolut_Grafik_1_2!$A$3-Absolut_Grafik_1_2!$E$1,,Absolut_Grafik_1_2!$A$4-Absolut_Grafik_1_2!$A$3+1)</definedName>
    <definedName name="Diagramm_Index_Jahreszahlen_Import">OFFSET(Absolut_Grafik_1_2!$E$12,,Absolut_Grafik_1_2!$A$3-Absolut_Grafik_1_2!$E$1,,Absolut_Grafik_1_2!$A$4-Absolut_Grafik_1_2!$A$3+1)</definedName>
    <definedName name="Diagramm_Veraend_Exporte">OFFSET(Absolut_Grafik_1_2!$E$7,,Absolut_Grafik_1_2!$A$3-Absolut_Grafik_1_2!$E$1+1,,Absolut_Grafik_1_2!$A$4-Absolut_Grafik_1_2!$A$3)</definedName>
    <definedName name="Diagramm_Veraend_Importe">OFFSET(Absolut_Grafik_1_2!$E$18,,Absolut_Grafik_1_2!$A$3-Absolut_Grafik_1_2!$E$1+1,,Absolut_Grafik_1_2!$A$4-Absolut_Grafik_1_2!$A$3)</definedName>
    <definedName name="Diagramm_Veraend_Jahreszahlen">OFFSET(Absolut_Grafik_1_2!$E$2,,Absolut_Grafik_1_2!$A$3-Absolut_Grafik_1_2!$E$1+1,,Absolut_Grafik_1_2!$A$4-Absolut_Grafik_1_2!$A$3)</definedName>
    <definedName name="_xlnm.Print_Area" localSheetId="0">Dashboard!$A$1:$L$78</definedName>
    <definedName name="Einheit_Text">Dropdown!$R$2</definedName>
    <definedName name="Einheit_Wert">Dropdown!$S$2</definedName>
    <definedName name="Export_Basis_Jahr">Absolut_Grafik_1_2!$B$25:$C$58</definedName>
    <definedName name="Export_Jahreszahlen">Absolut_Grafik_1_2!$E$2:$XFD$2</definedName>
    <definedName name="Export_Matrix">Tabelle_Abfrage_von_MS_Access_Database[[#All],[Positionen]:[2025]]</definedName>
    <definedName name="Export_Partnerland">Top10_Export_Import!$C$3:$C$31</definedName>
    <definedName name="Export_Ranking">Top10_Export_Import!$A$3:$A$30</definedName>
    <definedName name="Export_Spaltenindex">Absolut_Grafik_1_2!$E$1:$XFD$1</definedName>
    <definedName name="Import_Basis_Jahr">Absolut_Grafik_1_2!$G$25:$H$58</definedName>
    <definedName name="Import_Jahreszahlen">Absolut_Grafik_1_2!$E$12:$XFD$12</definedName>
    <definedName name="Import_Matrix">Tabelle_Abfrage_von_MS_Access_Database7[[#All],[Positionen]:[2025]]</definedName>
    <definedName name="Import_Partnerland">Top10_Export_Import!$G$3:$G$31</definedName>
    <definedName name="Import_Ranking">Top10_Export_Import!$E$3:$E$30</definedName>
    <definedName name="Import_Spaltenindex">Absolut_Grafik_1_2!$E$11:$XFD$11</definedName>
    <definedName name="Kartentitel">Dropdown!$Q$5</definedName>
    <definedName name="Kartentitel_Ausgangsentwicklung">Dropdown!$Q$23</definedName>
    <definedName name="Kartentitel_Eingangsentwicklung">Dropdown!$Q$20</definedName>
    <definedName name="Kartentitel_Veränderung">Dropdown!$Q$17</definedName>
    <definedName name="Kürzel_Außenhandelspartner">Dropdown!$Q$11</definedName>
    <definedName name="Land_Wert" comment="Da das Kombinationsfeld auf einen Wert wartet, wird dieser Bereich als Land_Wert definiert">Tabelle_Abfrage_von_MS_Access_Database4[Wert]</definedName>
    <definedName name="Max_Jahr">Absolut_Grafik_1_2!$B$28:$B$1048576</definedName>
    <definedName name="Metadata1">Dropdown!$Q$26</definedName>
    <definedName name="Metadata2">Dropdown!$Q$27</definedName>
    <definedName name="Metadata3">Dropdown!$Q$28</definedName>
    <definedName name="Metadata4">Dropdown!$Q$29</definedName>
    <definedName name="Metadata5">Dropdown!$Q$30</definedName>
    <definedName name="Metadata6">Dropdown!$Q$31</definedName>
    <definedName name="Metadata7">Dropdown!$Q$32</definedName>
    <definedName name="Metadata8">Dropdown!$Q$33</definedName>
    <definedName name="VON">Absolut_Grafik_1_2!$C$3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R17" i="21" l="1"/>
  <c r="AR2" i="21"/>
  <c r="AR14" i="21"/>
  <c r="AR29" i="21"/>
  <c r="G58" i="20"/>
  <c r="B58" i="20"/>
  <c r="C58" i="20"/>
  <c r="H58" i="20"/>
  <c r="AI12" i="20"/>
  <c r="AI2" i="20"/>
  <c r="AI3" i="20"/>
  <c r="AI4" i="20"/>
  <c r="AI6" i="20"/>
  <c r="AI14" i="20"/>
  <c r="AI17" i="20" s="1"/>
  <c r="AI15" i="20"/>
  <c r="AQ17" i="21"/>
  <c r="AQ2" i="21"/>
  <c r="G57" i="20"/>
  <c r="B57" i="20"/>
  <c r="AH12" i="20"/>
  <c r="AH2" i="20"/>
  <c r="C57" i="20"/>
  <c r="H57" i="20"/>
  <c r="G56" i="20"/>
  <c r="B56" i="20"/>
  <c r="C56" i="20"/>
  <c r="H56" i="20"/>
  <c r="AP17" i="21"/>
  <c r="AP2" i="21"/>
  <c r="AG12" i="20"/>
  <c r="AG2" i="20"/>
  <c r="AF12" i="20"/>
  <c r="AF2" i="20"/>
  <c r="AO17" i="21"/>
  <c r="AO2" i="21"/>
  <c r="G55" i="20"/>
  <c r="B55" i="20"/>
  <c r="C55" i="20"/>
  <c r="H55" i="20"/>
  <c r="AN17" i="21" l="1"/>
  <c r="AN2" i="21"/>
  <c r="AE12" i="20"/>
  <c r="AE2" i="20"/>
  <c r="G54" i="20"/>
  <c r="B54" i="20"/>
  <c r="C54" i="20"/>
  <c r="H54" i="20"/>
  <c r="R8" i="5"/>
  <c r="AM2" i="21"/>
  <c r="AM17" i="21"/>
  <c r="AD12" i="20"/>
  <c r="AD2" i="20"/>
  <c r="G53" i="20"/>
  <c r="B53" i="20"/>
  <c r="C53" i="20"/>
  <c r="H53" i="20"/>
  <c r="AL17" i="21"/>
  <c r="AL2" i="21"/>
  <c r="G52" i="20"/>
  <c r="B52" i="20"/>
  <c r="C52" i="20"/>
  <c r="H52" i="20"/>
  <c r="AC12" i="20"/>
  <c r="AC2" i="20"/>
  <c r="G51" i="20" l="1"/>
  <c r="B51" i="20"/>
  <c r="C51" i="20"/>
  <c r="H51" i="20"/>
  <c r="AB12" i="20"/>
  <c r="AB2" i="20"/>
  <c r="AK17" i="21"/>
  <c r="AK2" i="21"/>
  <c r="Q33" i="5" l="1"/>
  <c r="A77" i="19" s="1"/>
  <c r="Q32" i="5"/>
  <c r="A76" i="19" s="1"/>
  <c r="Q31" i="5"/>
  <c r="A75" i="19" s="1"/>
  <c r="Q30" i="5"/>
  <c r="A73" i="19" s="1"/>
  <c r="Q29" i="5"/>
  <c r="A72" i="19" s="1"/>
  <c r="Q28" i="5"/>
  <c r="A70" i="19" s="1"/>
  <c r="Q27" i="5"/>
  <c r="A69" i="19" s="1"/>
  <c r="Q26" i="5"/>
  <c r="A68" i="19" s="1"/>
  <c r="A66" i="19" l="1"/>
  <c r="A43" i="19"/>
  <c r="K27" i="19"/>
  <c r="E27" i="19"/>
  <c r="L27" i="19"/>
  <c r="F27" i="19"/>
  <c r="K26" i="19"/>
  <c r="E26" i="19"/>
  <c r="L2" i="19"/>
  <c r="K2" i="19"/>
  <c r="F2" i="23"/>
  <c r="A2" i="19" s="1"/>
  <c r="Q23" i="5" l="1"/>
  <c r="Q20" i="5"/>
  <c r="Q17" i="5"/>
  <c r="U14" i="5"/>
  <c r="T14" i="5"/>
  <c r="S14" i="5"/>
  <c r="R2" i="5"/>
  <c r="Q8" i="5"/>
  <c r="S8" i="5" s="1"/>
  <c r="R14" i="5"/>
  <c r="S2" i="5"/>
  <c r="G27" i="19" l="1"/>
  <c r="F6" i="19"/>
  <c r="B6" i="19"/>
  <c r="A27" i="19"/>
  <c r="F5" i="19"/>
  <c r="B5" i="19"/>
  <c r="Q5"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 i="5"/>
  <c r="B3" i="18" l="1"/>
  <c r="B3" i="17"/>
  <c r="B26" i="17"/>
  <c r="B26" i="18"/>
  <c r="B18" i="18"/>
  <c r="B18" i="17"/>
  <c r="B10" i="18"/>
  <c r="B10" i="17"/>
  <c r="B11" i="18"/>
  <c r="B11" i="17"/>
  <c r="B25" i="17"/>
  <c r="B25" i="18"/>
  <c r="B17" i="17"/>
  <c r="B17" i="18"/>
  <c r="B9" i="17"/>
  <c r="B9" i="18"/>
  <c r="B8" i="17"/>
  <c r="B8" i="18"/>
  <c r="B24" i="17"/>
  <c r="B24" i="18"/>
  <c r="B2" i="17"/>
  <c r="B2" i="18"/>
  <c r="B23" i="17"/>
  <c r="B23" i="18"/>
  <c r="B15" i="17"/>
  <c r="B15" i="18"/>
  <c r="B7" i="17"/>
  <c r="B7" i="18"/>
  <c r="B16" i="17"/>
  <c r="B16" i="18"/>
  <c r="B22" i="17"/>
  <c r="B22" i="18"/>
  <c r="B14" i="17"/>
  <c r="B14" i="18"/>
  <c r="B6" i="17"/>
  <c r="B6" i="18"/>
  <c r="B19" i="18"/>
  <c r="B19" i="17"/>
  <c r="B29" i="18"/>
  <c r="B29" i="17"/>
  <c r="B21" i="17"/>
  <c r="B21" i="18"/>
  <c r="B13" i="18"/>
  <c r="B13" i="17"/>
  <c r="B5" i="17"/>
  <c r="B5" i="18"/>
  <c r="B27" i="18"/>
  <c r="B27" i="17"/>
  <c r="B30" i="17"/>
  <c r="B30" i="18"/>
  <c r="B28" i="18"/>
  <c r="B28" i="17"/>
  <c r="B20" i="18"/>
  <c r="B20" i="17"/>
  <c r="B12" i="18"/>
  <c r="B12" i="17"/>
  <c r="B4" i="18"/>
  <c r="B4" i="17"/>
  <c r="E3" i="5"/>
  <c r="F8" i="23"/>
  <c r="I2" i="19" s="1"/>
  <c r="F5" i="23"/>
  <c r="F2" i="19" s="1"/>
  <c r="B1" i="23"/>
  <c r="AH14" i="20" l="1"/>
  <c r="AH17" i="20" s="1"/>
  <c r="AI18" i="20" s="1"/>
  <c r="AH15" i="20"/>
  <c r="AH4" i="20"/>
  <c r="AH3" i="20"/>
  <c r="AH6" i="20" s="1"/>
  <c r="AI7" i="20" s="1"/>
  <c r="B4" i="20"/>
  <c r="AG14" i="20"/>
  <c r="AG17" i="20" s="1"/>
  <c r="AG3" i="20"/>
  <c r="AG6" i="20" s="1"/>
  <c r="AG15" i="20"/>
  <c r="AG4" i="20"/>
  <c r="AF15" i="20"/>
  <c r="AF4" i="20"/>
  <c r="AF14" i="20"/>
  <c r="AF17" i="20" s="1"/>
  <c r="AF3" i="20"/>
  <c r="AF6" i="20" s="1"/>
  <c r="AE4" i="20"/>
  <c r="AE15" i="20"/>
  <c r="AE3" i="20"/>
  <c r="AE6" i="20" s="1"/>
  <c r="AE14" i="20"/>
  <c r="AE17" i="20" s="1"/>
  <c r="AC15" i="20"/>
  <c r="AD15" i="20"/>
  <c r="AD14" i="20"/>
  <c r="AD17" i="20" s="1"/>
  <c r="AD4" i="20"/>
  <c r="AD3" i="20"/>
  <c r="AD6" i="20" s="1"/>
  <c r="AC3" i="20"/>
  <c r="AC6" i="20" s="1"/>
  <c r="AC14" i="20"/>
  <c r="AC17" i="20" s="1"/>
  <c r="AC4" i="20"/>
  <c r="AB4" i="20"/>
  <c r="AB14" i="20"/>
  <c r="AB17" i="20" s="1"/>
  <c r="AB3" i="20"/>
  <c r="AB6" i="20" s="1"/>
  <c r="AB15" i="20"/>
  <c r="R11" i="5"/>
  <c r="A9" i="20"/>
  <c r="A20" i="20"/>
  <c r="R15" i="20"/>
  <c r="Y15" i="20"/>
  <c r="S15" i="20"/>
  <c r="T15" i="20"/>
  <c r="J4" i="20"/>
  <c r="AA15" i="20"/>
  <c r="E4" i="20"/>
  <c r="C15" i="20"/>
  <c r="D15" i="20"/>
  <c r="E15" i="20"/>
  <c r="X4" i="20"/>
  <c r="X15" i="20"/>
  <c r="F15" i="20"/>
  <c r="N15" i="20"/>
  <c r="O15" i="20"/>
  <c r="H15" i="20"/>
  <c r="M15" i="20"/>
  <c r="Z4" i="20"/>
  <c r="C4" i="20"/>
  <c r="L4" i="20"/>
  <c r="I15" i="20"/>
  <c r="V15" i="20"/>
  <c r="K15" i="20"/>
  <c r="S4" i="20"/>
  <c r="L15" i="20"/>
  <c r="B15" i="20"/>
  <c r="F4" i="20"/>
  <c r="N4" i="20"/>
  <c r="U4" i="20"/>
  <c r="G4" i="20"/>
  <c r="W4" i="20"/>
  <c r="I4" i="20"/>
  <c r="P4" i="20"/>
  <c r="M4" i="20"/>
  <c r="R4" i="20"/>
  <c r="K4" i="20"/>
  <c r="AA4" i="20"/>
  <c r="Q4" i="20"/>
  <c r="D4" i="20"/>
  <c r="T4" i="20"/>
  <c r="Y4" i="20"/>
  <c r="J15" i="20"/>
  <c r="Z15" i="20"/>
  <c r="V4" i="20"/>
  <c r="G15" i="20"/>
  <c r="W15" i="20"/>
  <c r="O4" i="20"/>
  <c r="U15" i="20"/>
  <c r="P15" i="20"/>
  <c r="H4" i="20"/>
  <c r="Q15" i="20"/>
  <c r="AJ17" i="21"/>
  <c r="AJ2" i="21"/>
  <c r="G50" i="20"/>
  <c r="B50" i="20"/>
  <c r="C50" i="20"/>
  <c r="H50" i="20"/>
  <c r="AA12" i="20"/>
  <c r="AA2" i="20"/>
  <c r="AA3" i="20"/>
  <c r="AA6" i="20" s="1"/>
  <c r="AA14" i="20"/>
  <c r="AA17" i="20" s="1"/>
  <c r="AG18" i="20" l="1"/>
  <c r="AB7" i="20"/>
  <c r="AH7" i="20"/>
  <c r="AH18" i="20"/>
  <c r="AG7" i="20"/>
  <c r="AF18" i="20"/>
  <c r="AF7" i="20"/>
  <c r="AE18" i="20"/>
  <c r="AD18" i="20"/>
  <c r="AE7" i="20"/>
  <c r="AC7" i="20"/>
  <c r="AD7" i="20"/>
  <c r="AC18" i="20"/>
  <c r="AB18" i="20"/>
  <c r="AI17" i="21"/>
  <c r="AH17" i="21"/>
  <c r="AI2" i="21"/>
  <c r="AH2" i="21"/>
  <c r="G49" i="20"/>
  <c r="H49" i="20"/>
  <c r="B49" i="20"/>
  <c r="C49" i="20"/>
  <c r="Z12" i="20"/>
  <c r="Z2" i="20"/>
  <c r="Z3" i="20"/>
  <c r="Z6" i="20" s="1"/>
  <c r="AA7" i="20" s="1"/>
  <c r="Z14" i="20"/>
  <c r="Z17" i="20" s="1"/>
  <c r="AA18" i="20" s="1"/>
  <c r="Y2" i="20" l="1"/>
  <c r="Y12" i="20"/>
  <c r="G48" i="20"/>
  <c r="B48" i="20"/>
  <c r="H48" i="20"/>
  <c r="C48" i="20"/>
  <c r="F4" i="21" l="1"/>
  <c r="G4" i="21"/>
  <c r="F5" i="21"/>
  <c r="G5" i="21"/>
  <c r="F6" i="21"/>
  <c r="G6" i="21"/>
  <c r="F7" i="21"/>
  <c r="G7" i="21"/>
  <c r="F8" i="21"/>
  <c r="G8" i="21"/>
  <c r="F9" i="21"/>
  <c r="G9" i="21"/>
  <c r="F10" i="21"/>
  <c r="G10" i="21"/>
  <c r="F11" i="21"/>
  <c r="G11" i="21"/>
  <c r="F12" i="21"/>
  <c r="G12" i="21"/>
  <c r="F13" i="21"/>
  <c r="G13" i="21"/>
  <c r="F14" i="21"/>
  <c r="G14" i="21"/>
  <c r="F15" i="21"/>
  <c r="G15" i="21"/>
  <c r="F16" i="21"/>
  <c r="G16" i="21"/>
  <c r="F17" i="21"/>
  <c r="G17" i="21"/>
  <c r="F18" i="21"/>
  <c r="G18" i="21"/>
  <c r="F19" i="21"/>
  <c r="G19" i="21"/>
  <c r="F20" i="21"/>
  <c r="G20" i="21"/>
  <c r="F21" i="21"/>
  <c r="G21" i="21"/>
  <c r="F22" i="21"/>
  <c r="G22" i="21"/>
  <c r="F23" i="21"/>
  <c r="G23" i="21"/>
  <c r="F24" i="21"/>
  <c r="G24" i="21"/>
  <c r="F25" i="21"/>
  <c r="G25" i="21"/>
  <c r="F26" i="21"/>
  <c r="G26" i="21"/>
  <c r="F27" i="21"/>
  <c r="G27" i="21"/>
  <c r="F28" i="21"/>
  <c r="G28" i="21"/>
  <c r="F29" i="21"/>
  <c r="G29" i="21"/>
  <c r="F30" i="21"/>
  <c r="G30" i="21"/>
  <c r="F31" i="21"/>
  <c r="G31" i="21"/>
  <c r="B4" i="21"/>
  <c r="C4" i="21"/>
  <c r="B5" i="21"/>
  <c r="C5" i="21"/>
  <c r="B6" i="21"/>
  <c r="C6" i="21"/>
  <c r="B7" i="21"/>
  <c r="C7" i="21"/>
  <c r="B8" i="21"/>
  <c r="C8" i="21"/>
  <c r="B9" i="21"/>
  <c r="C9" i="21"/>
  <c r="B10" i="21"/>
  <c r="C10" i="21"/>
  <c r="B11" i="21"/>
  <c r="C11" i="21"/>
  <c r="B12" i="21"/>
  <c r="C12" i="21"/>
  <c r="B13" i="21"/>
  <c r="C13" i="21"/>
  <c r="B14" i="21"/>
  <c r="C14" i="21"/>
  <c r="B15" i="21"/>
  <c r="C15" i="21"/>
  <c r="B16" i="21"/>
  <c r="C16" i="21"/>
  <c r="B17" i="21"/>
  <c r="C17" i="21"/>
  <c r="B18" i="21"/>
  <c r="C18" i="21"/>
  <c r="B19" i="21"/>
  <c r="C19" i="21"/>
  <c r="B20" i="21"/>
  <c r="C20" i="21"/>
  <c r="B21" i="21"/>
  <c r="C21" i="21"/>
  <c r="B22" i="21"/>
  <c r="C22" i="21"/>
  <c r="B23" i="21"/>
  <c r="C23" i="21"/>
  <c r="B24" i="21"/>
  <c r="C24" i="21"/>
  <c r="B25" i="21"/>
  <c r="C25" i="21"/>
  <c r="B26" i="21"/>
  <c r="C26" i="21"/>
  <c r="B27" i="21"/>
  <c r="C27" i="21"/>
  <c r="B28" i="21"/>
  <c r="C28" i="21"/>
  <c r="B29" i="21"/>
  <c r="C29" i="21"/>
  <c r="B30" i="21"/>
  <c r="C30" i="21"/>
  <c r="B31" i="21"/>
  <c r="C31" i="21"/>
  <c r="F4" i="5"/>
  <c r="F5" i="5"/>
  <c r="F6" i="5"/>
  <c r="F7" i="5"/>
  <c r="F8" i="5"/>
  <c r="F9" i="5"/>
  <c r="F10" i="5"/>
  <c r="Q11" i="5" s="1"/>
  <c r="F11" i="5"/>
  <c r="F12" i="5"/>
  <c r="F13" i="5"/>
  <c r="F14" i="5"/>
  <c r="F15" i="5"/>
  <c r="F16" i="5"/>
  <c r="F17" i="5"/>
  <c r="F18" i="5"/>
  <c r="F19" i="5"/>
  <c r="F20" i="5"/>
  <c r="F21" i="5"/>
  <c r="F22" i="5"/>
  <c r="F23" i="5"/>
  <c r="F24" i="5"/>
  <c r="F25" i="5"/>
  <c r="F26" i="5"/>
  <c r="F27" i="5"/>
  <c r="F28" i="5"/>
  <c r="F29" i="5"/>
  <c r="F30" i="5"/>
  <c r="F31" i="5"/>
  <c r="G33" i="20" l="1"/>
  <c r="G47" i="20"/>
  <c r="G46" i="20"/>
  <c r="G45" i="20"/>
  <c r="G44" i="20"/>
  <c r="G43" i="20"/>
  <c r="G42" i="20"/>
  <c r="G41" i="20"/>
  <c r="G40" i="20"/>
  <c r="G39" i="20"/>
  <c r="G38" i="20"/>
  <c r="G37" i="20"/>
  <c r="G36" i="20"/>
  <c r="G35" i="20"/>
  <c r="G34" i="20"/>
  <c r="G32" i="20"/>
  <c r="G31" i="20"/>
  <c r="G30" i="20"/>
  <c r="G29" i="20"/>
  <c r="G28" i="20"/>
  <c r="F12" i="20"/>
  <c r="G12" i="20"/>
  <c r="H12" i="20"/>
  <c r="I12" i="20"/>
  <c r="J12" i="20"/>
  <c r="K12" i="20"/>
  <c r="L12" i="20"/>
  <c r="M12" i="20"/>
  <c r="N12" i="20"/>
  <c r="O12" i="20"/>
  <c r="P12" i="20"/>
  <c r="Q12" i="20"/>
  <c r="R12" i="20"/>
  <c r="S12" i="20"/>
  <c r="T12" i="20"/>
  <c r="U12" i="20"/>
  <c r="V12" i="20"/>
  <c r="W12" i="20"/>
  <c r="X12" i="20"/>
  <c r="E12" i="20"/>
  <c r="F3" i="5" l="1"/>
  <c r="AG17" i="21" l="1"/>
  <c r="AF17" i="21"/>
  <c r="AE17" i="21"/>
  <c r="AD17" i="21"/>
  <c r="AC17" i="21"/>
  <c r="AB17" i="21"/>
  <c r="AA17" i="21"/>
  <c r="Z17" i="21"/>
  <c r="Y17" i="21"/>
  <c r="X17" i="21"/>
  <c r="W17" i="21"/>
  <c r="V17" i="21"/>
  <c r="U17" i="21"/>
  <c r="T17" i="21"/>
  <c r="S17" i="21"/>
  <c r="R17" i="21"/>
  <c r="Q17" i="21"/>
  <c r="P17" i="21"/>
  <c r="O17" i="21"/>
  <c r="N17" i="21"/>
  <c r="K17" i="21"/>
  <c r="G3" i="21"/>
  <c r="F3" i="21"/>
  <c r="C3" i="21"/>
  <c r="B3" i="21"/>
  <c r="AG2" i="21"/>
  <c r="AF2" i="21"/>
  <c r="AE2" i="21"/>
  <c r="AD2" i="21"/>
  <c r="AC2" i="21"/>
  <c r="AB2" i="21"/>
  <c r="AA2" i="21"/>
  <c r="Z2" i="21"/>
  <c r="Y2" i="21"/>
  <c r="X2" i="21"/>
  <c r="W2" i="21"/>
  <c r="V2" i="21"/>
  <c r="U2" i="21"/>
  <c r="T2" i="21"/>
  <c r="S2" i="21"/>
  <c r="R2" i="21"/>
  <c r="Q2" i="21"/>
  <c r="P2" i="21"/>
  <c r="O2" i="21"/>
  <c r="N2" i="21"/>
  <c r="K2" i="21"/>
  <c r="G2" i="21"/>
  <c r="F2" i="21"/>
  <c r="E2" i="21"/>
  <c r="C2" i="21"/>
  <c r="B2" i="21"/>
  <c r="A2" i="21"/>
  <c r="H47" i="20"/>
  <c r="C47" i="20"/>
  <c r="B47" i="20"/>
  <c r="H46" i="20"/>
  <c r="C46" i="20"/>
  <c r="B46" i="20"/>
  <c r="H45" i="20"/>
  <c r="C45" i="20"/>
  <c r="B45" i="20"/>
  <c r="H44" i="20"/>
  <c r="C44" i="20"/>
  <c r="B44" i="20"/>
  <c r="H43" i="20"/>
  <c r="C43" i="20"/>
  <c r="B43" i="20"/>
  <c r="H42" i="20"/>
  <c r="C42" i="20"/>
  <c r="B42" i="20"/>
  <c r="H41" i="20"/>
  <c r="C41" i="20"/>
  <c r="B41" i="20"/>
  <c r="H40" i="20"/>
  <c r="C40" i="20"/>
  <c r="B40" i="20"/>
  <c r="H39" i="20"/>
  <c r="C39" i="20"/>
  <c r="B39" i="20"/>
  <c r="H38" i="20"/>
  <c r="C38" i="20"/>
  <c r="B38" i="20"/>
  <c r="H37" i="20"/>
  <c r="C37" i="20"/>
  <c r="B37" i="20"/>
  <c r="H36" i="20"/>
  <c r="C36" i="20"/>
  <c r="B36" i="20"/>
  <c r="H35" i="20"/>
  <c r="C35" i="20"/>
  <c r="B35" i="20"/>
  <c r="H34" i="20"/>
  <c r="C34" i="20"/>
  <c r="B34" i="20"/>
  <c r="H33" i="20"/>
  <c r="C33" i="20"/>
  <c r="B33" i="20"/>
  <c r="H32" i="20"/>
  <c r="C32" i="20"/>
  <c r="B32" i="20"/>
  <c r="H31" i="20"/>
  <c r="C31" i="20"/>
  <c r="B31" i="20"/>
  <c r="H30" i="20"/>
  <c r="C30" i="20"/>
  <c r="B30" i="20"/>
  <c r="H29" i="20"/>
  <c r="C29" i="20"/>
  <c r="B29" i="20"/>
  <c r="H28" i="20"/>
  <c r="C28" i="20"/>
  <c r="B28" i="20"/>
  <c r="H25" i="20"/>
  <c r="C25" i="20"/>
  <c r="I14" i="20"/>
  <c r="O3" i="20"/>
  <c r="O6" i="20" s="1"/>
  <c r="X2" i="20"/>
  <c r="W2" i="20"/>
  <c r="V2" i="20"/>
  <c r="U2" i="20"/>
  <c r="T2" i="20"/>
  <c r="S2" i="20"/>
  <c r="R2" i="20"/>
  <c r="Q2" i="20"/>
  <c r="P2" i="20"/>
  <c r="O2" i="20"/>
  <c r="N2" i="20"/>
  <c r="M2" i="20"/>
  <c r="L2" i="20"/>
  <c r="K2" i="20"/>
  <c r="J2" i="20"/>
  <c r="I2" i="20"/>
  <c r="H2" i="20"/>
  <c r="G2" i="20"/>
  <c r="F2" i="20"/>
  <c r="E2" i="20"/>
  <c r="D43" i="19"/>
  <c r="C43" i="19"/>
  <c r="G37" i="19"/>
  <c r="A37" i="19"/>
  <c r="G36" i="19"/>
  <c r="A36" i="19"/>
  <c r="G35" i="19"/>
  <c r="A35" i="19"/>
  <c r="G34" i="19"/>
  <c r="A34" i="19"/>
  <c r="G33" i="19"/>
  <c r="A33" i="19"/>
  <c r="G32" i="19"/>
  <c r="A32" i="19"/>
  <c r="G31" i="19"/>
  <c r="A31" i="19"/>
  <c r="G30" i="19"/>
  <c r="A30" i="19"/>
  <c r="G29" i="19"/>
  <c r="A29" i="19"/>
  <c r="G28" i="19"/>
  <c r="A28" i="19"/>
  <c r="H2" i="19"/>
  <c r="Y3" i="20" l="1"/>
  <c r="Y6" i="20" s="1"/>
  <c r="Z7" i="20" s="1"/>
  <c r="Y14" i="20"/>
  <c r="Y17" i="20" s="1"/>
  <c r="Z18" i="20" s="1"/>
  <c r="J6" i="19"/>
  <c r="J5" i="19"/>
  <c r="G3" i="20"/>
  <c r="G6" i="20" s="1"/>
  <c r="H3" i="20"/>
  <c r="H6" i="20" s="1"/>
  <c r="S3" i="20"/>
  <c r="S6" i="20" s="1"/>
  <c r="C3" i="20"/>
  <c r="A3" i="19" s="1"/>
  <c r="K3" i="20"/>
  <c r="K6" i="20" s="1"/>
  <c r="W3" i="20"/>
  <c r="W6" i="20" s="1"/>
  <c r="Q14" i="20"/>
  <c r="Q17" i="20" s="1"/>
  <c r="D3" i="20"/>
  <c r="A4" i="20" s="1"/>
  <c r="L3" i="20"/>
  <c r="L6" i="20" s="1"/>
  <c r="E14" i="20"/>
  <c r="E17" i="20" s="1"/>
  <c r="U14" i="20"/>
  <c r="A19" i="20"/>
  <c r="M14" i="20"/>
  <c r="M17" i="20" s="1"/>
  <c r="I3" i="20"/>
  <c r="I6" i="20" s="1"/>
  <c r="M3" i="20"/>
  <c r="M6" i="20" s="1"/>
  <c r="U3" i="20"/>
  <c r="U6" i="20" s="1"/>
  <c r="A8" i="20"/>
  <c r="G14" i="20"/>
  <c r="G17" i="20" s="1"/>
  <c r="K14" i="20"/>
  <c r="K17" i="20" s="1"/>
  <c r="O14" i="20"/>
  <c r="O17" i="20" s="1"/>
  <c r="S14" i="20"/>
  <c r="S17" i="20" s="1"/>
  <c r="B3" i="20"/>
  <c r="B6" i="20" s="1"/>
  <c r="F3" i="20"/>
  <c r="J3" i="20"/>
  <c r="J6" i="20" s="1"/>
  <c r="N3" i="20"/>
  <c r="N6" i="20" s="1"/>
  <c r="R3" i="20"/>
  <c r="R6" i="20" s="1"/>
  <c r="V3" i="20"/>
  <c r="V6" i="20" s="1"/>
  <c r="B8" i="20"/>
  <c r="AI8" i="20" s="1"/>
  <c r="D14" i="20"/>
  <c r="H14" i="20"/>
  <c r="H17" i="20" s="1"/>
  <c r="L14" i="20"/>
  <c r="L17" i="20" s="1"/>
  <c r="P14" i="20"/>
  <c r="P17" i="20" s="1"/>
  <c r="T14" i="20"/>
  <c r="T17" i="20" s="1"/>
  <c r="X14" i="20"/>
  <c r="B18" i="20"/>
  <c r="B19" i="20"/>
  <c r="J14" i="21"/>
  <c r="AQ14" i="21" s="1"/>
  <c r="P3" i="20"/>
  <c r="P6" i="20" s="1"/>
  <c r="P7" i="20" s="1"/>
  <c r="T3" i="20"/>
  <c r="T6" i="20" s="1"/>
  <c r="X3" i="20"/>
  <c r="X6" i="20" s="1"/>
  <c r="B7" i="20"/>
  <c r="B14" i="20"/>
  <c r="B17" i="20" s="1"/>
  <c r="F14" i="20"/>
  <c r="F17" i="20" s="1"/>
  <c r="J14" i="20"/>
  <c r="J17" i="20" s="1"/>
  <c r="N14" i="20"/>
  <c r="N17" i="20" s="1"/>
  <c r="R14" i="20"/>
  <c r="R17" i="20" s="1"/>
  <c r="V14" i="20"/>
  <c r="V17" i="20" s="1"/>
  <c r="J29" i="21"/>
  <c r="AQ29" i="21" s="1"/>
  <c r="E3" i="20"/>
  <c r="E6" i="20" s="1"/>
  <c r="Q3" i="20"/>
  <c r="Q6" i="20" s="1"/>
  <c r="C14" i="20"/>
  <c r="W14" i="20"/>
  <c r="W17" i="20" s="1"/>
  <c r="A1" i="21"/>
  <c r="I17" i="20"/>
  <c r="E1" i="21"/>
  <c r="AH19" i="20" l="1"/>
  <c r="AI19" i="20"/>
  <c r="AG8" i="20"/>
  <c r="AH8" i="20"/>
  <c r="AO29" i="21"/>
  <c r="AP29" i="21"/>
  <c r="AO14" i="21"/>
  <c r="AP14" i="21"/>
  <c r="AF19" i="20"/>
  <c r="AG19" i="20"/>
  <c r="AE8" i="20"/>
  <c r="AF8" i="20"/>
  <c r="AL29" i="21"/>
  <c r="AN29" i="21"/>
  <c r="AM29" i="21"/>
  <c r="AL14" i="21"/>
  <c r="AN14" i="21"/>
  <c r="AM14" i="21"/>
  <c r="AD19" i="20"/>
  <c r="AE19" i="20"/>
  <c r="AC8" i="20"/>
  <c r="AD8" i="20"/>
  <c r="L7" i="20"/>
  <c r="AB19" i="20"/>
  <c r="AC19" i="20"/>
  <c r="AJ29" i="21"/>
  <c r="AK29" i="21"/>
  <c r="AJ14" i="21"/>
  <c r="AK14" i="21"/>
  <c r="B9" i="20"/>
  <c r="AB8" i="20"/>
  <c r="Y7" i="20"/>
  <c r="A3" i="20"/>
  <c r="Q14" i="5"/>
  <c r="AA19" i="20"/>
  <c r="B20" i="20"/>
  <c r="Z8" i="20"/>
  <c r="AA8" i="20"/>
  <c r="S29" i="21"/>
  <c r="AH29" i="21"/>
  <c r="AI29" i="21"/>
  <c r="Y14" i="21"/>
  <c r="AH14" i="21"/>
  <c r="AI14" i="21"/>
  <c r="Y19" i="20"/>
  <c r="Z19" i="20"/>
  <c r="Y8" i="20"/>
  <c r="E21" i="21"/>
  <c r="E29" i="21"/>
  <c r="A6" i="21"/>
  <c r="A14" i="21"/>
  <c r="A22" i="21"/>
  <c r="A21" i="21"/>
  <c r="A30" i="21"/>
  <c r="E10" i="21"/>
  <c r="E18" i="21"/>
  <c r="E26" i="21"/>
  <c r="A13" i="21"/>
  <c r="A29" i="21"/>
  <c r="A18" i="21"/>
  <c r="E17" i="21"/>
  <c r="E13" i="21"/>
  <c r="E14" i="21"/>
  <c r="E4" i="21"/>
  <c r="E7" i="21"/>
  <c r="A27" i="21"/>
  <c r="A25" i="21"/>
  <c r="E9" i="21"/>
  <c r="A26" i="21"/>
  <c r="A4" i="21"/>
  <c r="A28" i="21"/>
  <c r="E20" i="21"/>
  <c r="E5" i="21"/>
  <c r="E6" i="21"/>
  <c r="A24" i="21"/>
  <c r="A8" i="21"/>
  <c r="A15" i="21"/>
  <c r="A20" i="21"/>
  <c r="A9" i="21"/>
  <c r="A10" i="21"/>
  <c r="E30" i="21"/>
  <c r="E11" i="21"/>
  <c r="E31" i="21"/>
  <c r="E15" i="21"/>
  <c r="E27" i="21"/>
  <c r="A23" i="21"/>
  <c r="A19" i="21"/>
  <c r="E19" i="21"/>
  <c r="A12" i="21"/>
  <c r="E25" i="21"/>
  <c r="A17" i="21"/>
  <c r="E22" i="21"/>
  <c r="E8" i="21"/>
  <c r="E28" i="21"/>
  <c r="E12" i="21"/>
  <c r="E24" i="21"/>
  <c r="A5" i="21"/>
  <c r="A16" i="21"/>
  <c r="A31" i="21"/>
  <c r="A7" i="21"/>
  <c r="E23" i="21"/>
  <c r="E16" i="21"/>
  <c r="A11" i="21"/>
  <c r="I5" i="19"/>
  <c r="R18" i="20"/>
  <c r="V14" i="21"/>
  <c r="AB29" i="21"/>
  <c r="F6" i="20"/>
  <c r="G7" i="20" s="1"/>
  <c r="AA14" i="21"/>
  <c r="V29" i="21"/>
  <c r="H7" i="20"/>
  <c r="T29" i="21"/>
  <c r="AA29" i="21"/>
  <c r="S14" i="21"/>
  <c r="M29" i="21"/>
  <c r="O14" i="21"/>
  <c r="R29" i="21"/>
  <c r="R14" i="21"/>
  <c r="Q29" i="21"/>
  <c r="U14" i="21"/>
  <c r="U29" i="21"/>
  <c r="X14" i="21"/>
  <c r="Y29" i="21"/>
  <c r="L14" i="21"/>
  <c r="W14" i="21"/>
  <c r="T19" i="20"/>
  <c r="L29" i="21"/>
  <c r="P14" i="21"/>
  <c r="P29" i="21"/>
  <c r="AB14" i="21"/>
  <c r="N29" i="21"/>
  <c r="N14" i="21"/>
  <c r="O29" i="21"/>
  <c r="T14" i="21"/>
  <c r="Z29" i="21"/>
  <c r="Z14" i="21"/>
  <c r="AG29" i="21"/>
  <c r="AF14" i="21"/>
  <c r="AD14" i="21"/>
  <c r="X29" i="21"/>
  <c r="AE29" i="21"/>
  <c r="AG14" i="21"/>
  <c r="AC14" i="21"/>
  <c r="M14" i="21"/>
  <c r="Q19" i="20"/>
  <c r="W19" i="20"/>
  <c r="K19" i="20"/>
  <c r="I6" i="19"/>
  <c r="H19" i="20"/>
  <c r="I19" i="20"/>
  <c r="Q18" i="20"/>
  <c r="J7" i="19"/>
  <c r="P19" i="20"/>
  <c r="O19" i="20"/>
  <c r="M19" i="20"/>
  <c r="X7" i="20"/>
  <c r="N7" i="20"/>
  <c r="I18" i="20"/>
  <c r="U17" i="20"/>
  <c r="U18" i="20" s="1"/>
  <c r="T7" i="20"/>
  <c r="X19" i="20"/>
  <c r="V8" i="20"/>
  <c r="J7" i="20"/>
  <c r="J8" i="20"/>
  <c r="U19" i="20"/>
  <c r="W18" i="20"/>
  <c r="F18" i="20"/>
  <c r="G18" i="20"/>
  <c r="M18" i="20"/>
  <c r="L19" i="20"/>
  <c r="N19" i="20"/>
  <c r="J19" i="20"/>
  <c r="K18" i="20"/>
  <c r="E19" i="20"/>
  <c r="O18" i="20"/>
  <c r="U7" i="20"/>
  <c r="U8" i="20"/>
  <c r="L8" i="20"/>
  <c r="O8" i="20"/>
  <c r="H8" i="20"/>
  <c r="K8" i="20"/>
  <c r="Q8" i="20"/>
  <c r="C5" i="19"/>
  <c r="R8" i="20"/>
  <c r="N8" i="20"/>
  <c r="Q7" i="20"/>
  <c r="F8" i="20"/>
  <c r="T8" i="20"/>
  <c r="W8" i="20"/>
  <c r="G8" i="20"/>
  <c r="M8" i="20"/>
  <c r="V7" i="20"/>
  <c r="P8" i="20"/>
  <c r="S8" i="20"/>
  <c r="I8" i="20"/>
  <c r="V19" i="20"/>
  <c r="R7" i="20"/>
  <c r="S19" i="20"/>
  <c r="S18" i="20"/>
  <c r="R19" i="20"/>
  <c r="E8" i="20"/>
  <c r="X8" i="20"/>
  <c r="W29" i="21"/>
  <c r="F19" i="20"/>
  <c r="AF29" i="21"/>
  <c r="Q14" i="21"/>
  <c r="AC29" i="21"/>
  <c r="G19" i="20"/>
  <c r="X17" i="20"/>
  <c r="D6" i="19"/>
  <c r="C6" i="19"/>
  <c r="L18" i="20"/>
  <c r="AD29" i="21"/>
  <c r="H39" i="19"/>
  <c r="AE14" i="21"/>
  <c r="B39" i="19"/>
  <c r="D5" i="19"/>
  <c r="J18" i="20"/>
  <c r="N18" i="20"/>
  <c r="M7" i="20"/>
  <c r="W7" i="20"/>
  <c r="P18" i="20"/>
  <c r="S7" i="20"/>
  <c r="K29" i="21"/>
  <c r="K14" i="21"/>
  <c r="E3" i="21"/>
  <c r="A3" i="21"/>
  <c r="T18" i="20"/>
  <c r="O7" i="20"/>
  <c r="H18" i="20"/>
  <c r="K7" i="20"/>
  <c r="I7" i="20"/>
  <c r="AH20" i="20" l="1"/>
  <c r="AI20" i="20"/>
  <c r="AH9" i="20"/>
  <c r="AI9" i="20"/>
  <c r="AF9" i="20"/>
  <c r="AG9" i="20"/>
  <c r="AF20" i="20"/>
  <c r="AG20" i="20"/>
  <c r="AD9" i="20"/>
  <c r="AE9" i="20"/>
  <c r="AD20" i="20"/>
  <c r="AE20" i="20"/>
  <c r="AB9" i="20"/>
  <c r="AC9" i="20"/>
  <c r="AB20" i="20"/>
  <c r="AC20" i="20"/>
  <c r="O9" i="20"/>
  <c r="AA9" i="20"/>
  <c r="Z20" i="20"/>
  <c r="AA20" i="20"/>
  <c r="E9" i="20"/>
  <c r="N9" i="20"/>
  <c r="Y9" i="20"/>
  <c r="Z9" i="20"/>
  <c r="R9" i="20"/>
  <c r="U9" i="20"/>
  <c r="V9" i="20"/>
  <c r="I9" i="20"/>
  <c r="J9" i="20"/>
  <c r="L9" i="20"/>
  <c r="S9" i="20"/>
  <c r="H9" i="20"/>
  <c r="T9" i="20"/>
  <c r="G9" i="20"/>
  <c r="Q9" i="20"/>
  <c r="P9" i="20"/>
  <c r="X9" i="20"/>
  <c r="K9" i="20"/>
  <c r="W9" i="20"/>
  <c r="M9" i="20"/>
  <c r="F9" i="20"/>
  <c r="X18" i="20"/>
  <c r="Y18" i="20"/>
  <c r="P20" i="20"/>
  <c r="Y20" i="20"/>
  <c r="F7" i="20"/>
  <c r="I7" i="19"/>
  <c r="F7" i="19" s="1"/>
  <c r="I14" i="21"/>
  <c r="A39" i="19" s="1"/>
  <c r="I29" i="21"/>
  <c r="G39" i="19" s="1"/>
  <c r="V18" i="20"/>
  <c r="J20" i="20"/>
  <c r="I20" i="20"/>
  <c r="M20" i="20"/>
  <c r="Q20" i="20"/>
  <c r="E20" i="20"/>
  <c r="K20" i="20"/>
  <c r="R20" i="20"/>
  <c r="W20" i="20"/>
  <c r="T20" i="20"/>
  <c r="F20" i="20"/>
  <c r="G20" i="20"/>
  <c r="N20" i="20"/>
  <c r="O20" i="20"/>
  <c r="V20" i="20"/>
  <c r="H20" i="20"/>
  <c r="L20" i="20"/>
  <c r="X20" i="20"/>
  <c r="S20" i="20"/>
  <c r="U20" i="20"/>
  <c r="C7" i="19"/>
  <c r="D7" i="19"/>
  <c r="B7" i="19" s="1"/>
  <c r="C39" i="19"/>
  <c r="D39" i="19" s="1"/>
  <c r="E39" i="19" s="1"/>
  <c r="K11" i="21"/>
  <c r="K12" i="21"/>
  <c r="K10" i="21"/>
  <c r="K8" i="21"/>
  <c r="K6" i="21"/>
  <c r="K4" i="21"/>
  <c r="K7" i="21"/>
  <c r="K5" i="21"/>
  <c r="K3" i="21"/>
  <c r="J3" i="21" s="1"/>
  <c r="AR3" i="21" s="1"/>
  <c r="K9" i="21"/>
  <c r="K27" i="21"/>
  <c r="K25" i="21"/>
  <c r="K23" i="21"/>
  <c r="K21" i="21"/>
  <c r="K20" i="21"/>
  <c r="K18" i="21"/>
  <c r="K24" i="21"/>
  <c r="K19" i="21"/>
  <c r="K22" i="21"/>
  <c r="K26" i="21"/>
  <c r="I39" i="19"/>
  <c r="J39" i="19" s="1"/>
  <c r="K39" i="19" s="1"/>
  <c r="AP3" i="21" l="1"/>
  <c r="AQ3" i="21"/>
  <c r="AN3" i="21"/>
  <c r="AO3" i="21"/>
  <c r="AL3" i="21"/>
  <c r="AM3" i="21"/>
  <c r="AJ3" i="21"/>
  <c r="AK3" i="21"/>
  <c r="AH3" i="21"/>
  <c r="AI3" i="21"/>
  <c r="J9" i="21"/>
  <c r="AR9" i="21" s="1"/>
  <c r="C34" i="19"/>
  <c r="D34" i="19" s="1"/>
  <c r="E34" i="19" s="1"/>
  <c r="J24" i="21"/>
  <c r="AR24" i="21" s="1"/>
  <c r="I34" i="19"/>
  <c r="J34" i="19" s="1"/>
  <c r="K34" i="19" s="1"/>
  <c r="J23" i="21"/>
  <c r="AR23" i="21" s="1"/>
  <c r="I33" i="19"/>
  <c r="J33" i="19" s="1"/>
  <c r="K33" i="19" s="1"/>
  <c r="C28" i="19"/>
  <c r="D28" i="19" s="1"/>
  <c r="E28" i="19" s="1"/>
  <c r="J6" i="21"/>
  <c r="AR6" i="21" s="1"/>
  <c r="C31" i="19"/>
  <c r="D31" i="19" s="1"/>
  <c r="E31" i="19" s="1"/>
  <c r="J11" i="21"/>
  <c r="AR11" i="21" s="1"/>
  <c r="C36" i="19"/>
  <c r="D36" i="19" s="1"/>
  <c r="E36" i="19" s="1"/>
  <c r="J21" i="21"/>
  <c r="AR21" i="21" s="1"/>
  <c r="I31" i="19"/>
  <c r="J31" i="19" s="1"/>
  <c r="K31" i="19" s="1"/>
  <c r="J4" i="21"/>
  <c r="AR4" i="21" s="1"/>
  <c r="C29" i="19"/>
  <c r="D29" i="19" s="1"/>
  <c r="E29" i="19" s="1"/>
  <c r="J12" i="21"/>
  <c r="AR12" i="21" s="1"/>
  <c r="C37" i="19"/>
  <c r="D37" i="19" s="1"/>
  <c r="E37" i="19" s="1"/>
  <c r="J26" i="21"/>
  <c r="AR26" i="21" s="1"/>
  <c r="I36" i="19"/>
  <c r="J36" i="19" s="1"/>
  <c r="K36" i="19" s="1"/>
  <c r="J18" i="21"/>
  <c r="AR18" i="21" s="1"/>
  <c r="I28" i="19"/>
  <c r="J28" i="19" s="1"/>
  <c r="K28" i="19" s="1"/>
  <c r="J25" i="21"/>
  <c r="AR25" i="21" s="1"/>
  <c r="I35" i="19"/>
  <c r="J35" i="19" s="1"/>
  <c r="K35" i="19" s="1"/>
  <c r="J5" i="21"/>
  <c r="AR5" i="21" s="1"/>
  <c r="C30" i="19"/>
  <c r="D30" i="19" s="1"/>
  <c r="E30" i="19" s="1"/>
  <c r="J8" i="21"/>
  <c r="AR8" i="21" s="1"/>
  <c r="C33" i="19"/>
  <c r="D33" i="19" s="1"/>
  <c r="E33" i="19" s="1"/>
  <c r="J19" i="21"/>
  <c r="AR19" i="21" s="1"/>
  <c r="I29" i="19"/>
  <c r="J29" i="19" s="1"/>
  <c r="K29" i="19" s="1"/>
  <c r="J22" i="21"/>
  <c r="AR22" i="21" s="1"/>
  <c r="I32" i="19"/>
  <c r="J32" i="19" s="1"/>
  <c r="K32" i="19" s="1"/>
  <c r="J20" i="21"/>
  <c r="AR20" i="21" s="1"/>
  <c r="I30" i="19"/>
  <c r="J30" i="19" s="1"/>
  <c r="K30" i="19" s="1"/>
  <c r="J27" i="21"/>
  <c r="AR27" i="21" s="1"/>
  <c r="I37" i="19"/>
  <c r="J37" i="19" s="1"/>
  <c r="K37" i="19" s="1"/>
  <c r="J7" i="21"/>
  <c r="AR7" i="21" s="1"/>
  <c r="C32" i="19"/>
  <c r="D32" i="19" s="1"/>
  <c r="E32" i="19" s="1"/>
  <c r="J10" i="21"/>
  <c r="AR10" i="21" s="1"/>
  <c r="C35" i="19"/>
  <c r="D35" i="19" s="1"/>
  <c r="E35" i="19" s="1"/>
  <c r="AP22" i="21" l="1"/>
  <c r="AQ22" i="21"/>
  <c r="AP9" i="21"/>
  <c r="AQ9" i="21"/>
  <c r="AP24" i="21"/>
  <c r="AQ24" i="21"/>
  <c r="AP18" i="21"/>
  <c r="AQ18" i="21"/>
  <c r="AP27" i="21"/>
  <c r="AQ27" i="21"/>
  <c r="AP21" i="21"/>
  <c r="AQ21" i="21"/>
  <c r="AP11" i="21"/>
  <c r="AQ11" i="21"/>
  <c r="AP5" i="21"/>
  <c r="AQ5" i="21"/>
  <c r="AP26" i="21"/>
  <c r="AQ26" i="21"/>
  <c r="AP20" i="21"/>
  <c r="AQ20" i="21"/>
  <c r="AP6" i="21"/>
  <c r="AQ6" i="21"/>
  <c r="AP19" i="21"/>
  <c r="AQ19" i="21"/>
  <c r="AP8" i="21"/>
  <c r="AQ8" i="21"/>
  <c r="AP12" i="21"/>
  <c r="AQ12" i="21"/>
  <c r="AP4" i="21"/>
  <c r="AQ4" i="21"/>
  <c r="AP23" i="21"/>
  <c r="AQ23" i="21"/>
  <c r="AP25" i="21"/>
  <c r="AQ25" i="21"/>
  <c r="AP10" i="21"/>
  <c r="AQ10" i="21"/>
  <c r="AP7" i="21"/>
  <c r="AQ7" i="21"/>
  <c r="AN5" i="21"/>
  <c r="AO5" i="21"/>
  <c r="AN12" i="21"/>
  <c r="AO12" i="21"/>
  <c r="AN6" i="21"/>
  <c r="AO6" i="21"/>
  <c r="AN22" i="21"/>
  <c r="AO22" i="21"/>
  <c r="AN20" i="21"/>
  <c r="AO20" i="21"/>
  <c r="AN23" i="21"/>
  <c r="AO23" i="21"/>
  <c r="AN18" i="21"/>
  <c r="AO18" i="21"/>
  <c r="AN21" i="21"/>
  <c r="AO21" i="21"/>
  <c r="AN4" i="21"/>
  <c r="AO4" i="21"/>
  <c r="AN19" i="21"/>
  <c r="AO19" i="21"/>
  <c r="AN24" i="21"/>
  <c r="AO24" i="21"/>
  <c r="AN10" i="21"/>
  <c r="AO10" i="21"/>
  <c r="AN7" i="21"/>
  <c r="AO7" i="21"/>
  <c r="AN8" i="21"/>
  <c r="AO8" i="21"/>
  <c r="AN26" i="21"/>
  <c r="AO26" i="21"/>
  <c r="AN11" i="21"/>
  <c r="AO11" i="21"/>
  <c r="AN25" i="21"/>
  <c r="AO25" i="21"/>
  <c r="AN27" i="21"/>
  <c r="AO27" i="21"/>
  <c r="AN9" i="21"/>
  <c r="AO9" i="21"/>
  <c r="AL6" i="21"/>
  <c r="AM6" i="21"/>
  <c r="AL8" i="21"/>
  <c r="AM8" i="21"/>
  <c r="AL26" i="21"/>
  <c r="AM26" i="21"/>
  <c r="AL11" i="21"/>
  <c r="AM11" i="21"/>
  <c r="AL5" i="21"/>
  <c r="AM5" i="21"/>
  <c r="AL27" i="21"/>
  <c r="AM27" i="21"/>
  <c r="AL9" i="21"/>
  <c r="AM9" i="21"/>
  <c r="AL20" i="21"/>
  <c r="AM20" i="21"/>
  <c r="AL25" i="21"/>
  <c r="AM25" i="21"/>
  <c r="AL4" i="21"/>
  <c r="AM4" i="21"/>
  <c r="AL10" i="21"/>
  <c r="AM10" i="21"/>
  <c r="AL23" i="21"/>
  <c r="AM23" i="21"/>
  <c r="AL22" i="21"/>
  <c r="AM22" i="21"/>
  <c r="AL18" i="21"/>
  <c r="AM18" i="21"/>
  <c r="AL12" i="21"/>
  <c r="AM12" i="21"/>
  <c r="AL7" i="21"/>
  <c r="AM7" i="21"/>
  <c r="AL19" i="21"/>
  <c r="AM19" i="21"/>
  <c r="AL21" i="21"/>
  <c r="AM21" i="21"/>
  <c r="AL24" i="21"/>
  <c r="AM24" i="21"/>
  <c r="AJ20" i="21"/>
  <c r="AK20" i="21"/>
  <c r="AJ18" i="21"/>
  <c r="AK18" i="21"/>
  <c r="AJ6" i="21"/>
  <c r="AK6" i="21"/>
  <c r="AJ24" i="21"/>
  <c r="AK24" i="21"/>
  <c r="AJ19" i="21"/>
  <c r="AK19" i="21"/>
  <c r="AJ12" i="21"/>
  <c r="AK12" i="21"/>
  <c r="AJ27" i="21"/>
  <c r="AK27" i="21"/>
  <c r="AJ25" i="21"/>
  <c r="AK25" i="21"/>
  <c r="AJ4" i="21"/>
  <c r="AK4" i="21"/>
  <c r="AJ11" i="21"/>
  <c r="AK11" i="21"/>
  <c r="AJ7" i="21"/>
  <c r="AK7" i="21"/>
  <c r="AJ5" i="21"/>
  <c r="AK5" i="21"/>
  <c r="AJ21" i="21"/>
  <c r="AK21" i="21"/>
  <c r="AJ10" i="21"/>
  <c r="AK10" i="21"/>
  <c r="AJ22" i="21"/>
  <c r="AK22" i="21"/>
  <c r="AJ8" i="21"/>
  <c r="AK8" i="21"/>
  <c r="AJ26" i="21"/>
  <c r="AK26" i="21"/>
  <c r="AJ23" i="21"/>
  <c r="AK23" i="21"/>
  <c r="AJ9" i="21"/>
  <c r="AK9" i="21"/>
  <c r="AH22" i="21"/>
  <c r="AI22" i="21"/>
  <c r="AI8" i="21"/>
  <c r="AH8" i="21"/>
  <c r="AH25" i="21"/>
  <c r="AI25" i="21"/>
  <c r="AH26" i="21"/>
  <c r="AI26" i="21"/>
  <c r="AI4" i="21"/>
  <c r="AH4" i="21"/>
  <c r="AH11" i="21"/>
  <c r="AI11" i="21"/>
  <c r="AH23" i="21"/>
  <c r="AI23" i="21"/>
  <c r="AH9" i="21"/>
  <c r="AI9" i="21"/>
  <c r="AH10" i="21"/>
  <c r="AI10" i="21"/>
  <c r="AH7" i="21"/>
  <c r="AI7" i="21"/>
  <c r="AH19" i="21"/>
  <c r="AI19" i="21"/>
  <c r="AH18" i="21"/>
  <c r="AI18" i="21"/>
  <c r="AH21" i="21"/>
  <c r="AI21" i="21"/>
  <c r="AH6" i="21"/>
  <c r="AI6" i="21"/>
  <c r="AH27" i="21"/>
  <c r="AI27" i="21"/>
  <c r="AI20" i="21"/>
  <c r="AH20" i="21"/>
  <c r="AH5" i="21"/>
  <c r="AI5" i="21"/>
  <c r="AI12" i="21"/>
  <c r="AH12" i="21"/>
  <c r="AI24" i="21"/>
  <c r="AH24" i="21"/>
  <c r="AE27" i="21"/>
  <c r="AA27" i="21"/>
  <c r="W27" i="21"/>
  <c r="S27" i="21"/>
  <c r="O27" i="21"/>
  <c r="AG27" i="21"/>
  <c r="AB27" i="21"/>
  <c r="V27" i="21"/>
  <c r="Q27" i="21"/>
  <c r="L27" i="21"/>
  <c r="AD27" i="21"/>
  <c r="Y27" i="21"/>
  <c r="T27" i="21"/>
  <c r="N27" i="21"/>
  <c r="Z27" i="21"/>
  <c r="P27" i="21"/>
  <c r="AF27" i="21"/>
  <c r="U27" i="21"/>
  <c r="AC27" i="21"/>
  <c r="R27" i="21"/>
  <c r="X27" i="21"/>
  <c r="M27" i="21"/>
  <c r="H37" i="19"/>
  <c r="AE25" i="21"/>
  <c r="AA25" i="21"/>
  <c r="W25" i="21"/>
  <c r="S25" i="21"/>
  <c r="O25" i="21"/>
  <c r="AF25" i="21"/>
  <c r="Z25" i="21"/>
  <c r="U25" i="21"/>
  <c r="P25" i="21"/>
  <c r="AC25" i="21"/>
  <c r="X25" i="21"/>
  <c r="R25" i="21"/>
  <c r="M25" i="21"/>
  <c r="Y25" i="21"/>
  <c r="N25" i="21"/>
  <c r="AD25" i="21"/>
  <c r="T25" i="21"/>
  <c r="AB25" i="21"/>
  <c r="Q25" i="21"/>
  <c r="AG25" i="21"/>
  <c r="V25" i="21"/>
  <c r="L25" i="21"/>
  <c r="H35" i="19"/>
  <c r="AG20" i="21"/>
  <c r="AC20" i="21"/>
  <c r="Y20" i="21"/>
  <c r="U20" i="21"/>
  <c r="Q20" i="21"/>
  <c r="M20" i="21"/>
  <c r="AF20" i="21"/>
  <c r="AA20" i="21"/>
  <c r="V20" i="21"/>
  <c r="P20" i="21"/>
  <c r="AD20" i="21"/>
  <c r="X20" i="21"/>
  <c r="S20" i="21"/>
  <c r="N20" i="21"/>
  <c r="Z20" i="21"/>
  <c r="O20" i="21"/>
  <c r="AE20" i="21"/>
  <c r="T20" i="21"/>
  <c r="AB20" i="21"/>
  <c r="R20" i="21"/>
  <c r="L20" i="21"/>
  <c r="W20" i="21"/>
  <c r="H30" i="19"/>
  <c r="AG5" i="21"/>
  <c r="AC5" i="21"/>
  <c r="Y5" i="21"/>
  <c r="U5" i="21"/>
  <c r="Q5" i="21"/>
  <c r="M5" i="21"/>
  <c r="AE5" i="21"/>
  <c r="Z5" i="21"/>
  <c r="T5" i="21"/>
  <c r="O5" i="21"/>
  <c r="AF5" i="21"/>
  <c r="AA5" i="21"/>
  <c r="V5" i="21"/>
  <c r="P5" i="21"/>
  <c r="AB5" i="21"/>
  <c r="R5" i="21"/>
  <c r="X5" i="21"/>
  <c r="N5" i="21"/>
  <c r="AD5" i="21"/>
  <c r="S5" i="21"/>
  <c r="L5" i="21"/>
  <c r="B30" i="19"/>
  <c r="W5" i="21"/>
  <c r="AE6" i="21"/>
  <c r="AA6" i="21"/>
  <c r="W6" i="21"/>
  <c r="S6" i="21"/>
  <c r="O6" i="21"/>
  <c r="AG6" i="21"/>
  <c r="AB6" i="21"/>
  <c r="V6" i="21"/>
  <c r="Q6" i="21"/>
  <c r="L6" i="21"/>
  <c r="AC6" i="21"/>
  <c r="X6" i="21"/>
  <c r="R6" i="21"/>
  <c r="M6" i="21"/>
  <c r="Y6" i="21"/>
  <c r="N6" i="21"/>
  <c r="AF6" i="21"/>
  <c r="U6" i="21"/>
  <c r="Z6" i="21"/>
  <c r="P6" i="21"/>
  <c r="AD6" i="21"/>
  <c r="T6" i="21"/>
  <c r="B31" i="19"/>
  <c r="AG22" i="21"/>
  <c r="AC22" i="21"/>
  <c r="Y22" i="21"/>
  <c r="U22" i="21"/>
  <c r="Q22" i="21"/>
  <c r="M22" i="21"/>
  <c r="AB22" i="21"/>
  <c r="W22" i="21"/>
  <c r="R22" i="21"/>
  <c r="L22" i="21"/>
  <c r="AE22" i="21"/>
  <c r="Z22" i="21"/>
  <c r="T22" i="21"/>
  <c r="O22" i="21"/>
  <c r="AA22" i="21"/>
  <c r="P22" i="21"/>
  <c r="AF22" i="21"/>
  <c r="V22" i="21"/>
  <c r="AD22" i="21"/>
  <c r="S22" i="21"/>
  <c r="X22" i="21"/>
  <c r="N22" i="21"/>
  <c r="H32" i="19"/>
  <c r="AG26" i="21"/>
  <c r="AC26" i="21"/>
  <c r="Y26" i="21"/>
  <c r="U26" i="21"/>
  <c r="Q26" i="21"/>
  <c r="M26" i="21"/>
  <c r="AE26" i="21"/>
  <c r="Z26" i="21"/>
  <c r="T26" i="21"/>
  <c r="O26" i="21"/>
  <c r="AB26" i="21"/>
  <c r="W26" i="21"/>
  <c r="R26" i="21"/>
  <c r="L26" i="21"/>
  <c r="AD26" i="21"/>
  <c r="S26" i="21"/>
  <c r="X26" i="21"/>
  <c r="N26" i="21"/>
  <c r="AF26" i="21"/>
  <c r="V26" i="21"/>
  <c r="P26" i="21"/>
  <c r="H36" i="19"/>
  <c r="AA26" i="21"/>
  <c r="AE4" i="21"/>
  <c r="AA4" i="21"/>
  <c r="W4" i="21"/>
  <c r="S4" i="21"/>
  <c r="O4" i="21"/>
  <c r="AF4" i="21"/>
  <c r="Z4" i="21"/>
  <c r="U4" i="21"/>
  <c r="P4" i="21"/>
  <c r="AG4" i="21"/>
  <c r="AB4" i="21"/>
  <c r="V4" i="21"/>
  <c r="Q4" i="21"/>
  <c r="L4" i="21"/>
  <c r="AD4" i="21"/>
  <c r="T4" i="21"/>
  <c r="AC4" i="21"/>
  <c r="R4" i="21"/>
  <c r="X4" i="21"/>
  <c r="M4" i="21"/>
  <c r="N4" i="21"/>
  <c r="Y4" i="21"/>
  <c r="B29" i="19"/>
  <c r="AE11" i="21"/>
  <c r="AA11" i="21"/>
  <c r="W11" i="21"/>
  <c r="S11" i="21"/>
  <c r="O11" i="21"/>
  <c r="AG11" i="21"/>
  <c r="AC11" i="21"/>
  <c r="Y11" i="21"/>
  <c r="U11" i="21"/>
  <c r="Q11" i="21"/>
  <c r="M11" i="21"/>
  <c r="Z11" i="21"/>
  <c r="R11" i="21"/>
  <c r="AB11" i="21"/>
  <c r="T11" i="21"/>
  <c r="L11" i="21"/>
  <c r="AD11" i="21"/>
  <c r="N11" i="21"/>
  <c r="X11" i="21"/>
  <c r="B36" i="19"/>
  <c r="AF11" i="21"/>
  <c r="P11" i="21"/>
  <c r="V11" i="21"/>
  <c r="AG3" i="21"/>
  <c r="AC3" i="21"/>
  <c r="Y3" i="21"/>
  <c r="U3" i="21"/>
  <c r="Q3" i="21"/>
  <c r="M3" i="21"/>
  <c r="AD3" i="21"/>
  <c r="X3" i="21"/>
  <c r="S3" i="21"/>
  <c r="N3" i="21"/>
  <c r="AE3" i="21"/>
  <c r="Z3" i="21"/>
  <c r="T3" i="21"/>
  <c r="O3" i="21"/>
  <c r="W3" i="21"/>
  <c r="L3" i="21"/>
  <c r="AF3" i="21"/>
  <c r="V3" i="21"/>
  <c r="AA3" i="21"/>
  <c r="P3" i="21"/>
  <c r="R3" i="21"/>
  <c r="B28" i="19"/>
  <c r="AB3" i="21"/>
  <c r="AG24" i="21"/>
  <c r="AC24" i="21"/>
  <c r="Y24" i="21"/>
  <c r="U24" i="21"/>
  <c r="Q24" i="21"/>
  <c r="M24" i="21"/>
  <c r="AD24" i="21"/>
  <c r="X24" i="21"/>
  <c r="S24" i="21"/>
  <c r="N24" i="21"/>
  <c r="AF24" i="21"/>
  <c r="AA24" i="21"/>
  <c r="V24" i="21"/>
  <c r="P24" i="21"/>
  <c r="AB24" i="21"/>
  <c r="R24" i="21"/>
  <c r="W24" i="21"/>
  <c r="L24" i="21"/>
  <c r="AE24" i="21"/>
  <c r="T24" i="21"/>
  <c r="O24" i="21"/>
  <c r="Z24" i="21"/>
  <c r="H34" i="19"/>
  <c r="AE10" i="21"/>
  <c r="AA10" i="21"/>
  <c r="W10" i="21"/>
  <c r="S10" i="21"/>
  <c r="O10" i="21"/>
  <c r="AD10" i="21"/>
  <c r="Y10" i="21"/>
  <c r="T10" i="21"/>
  <c r="N10" i="21"/>
  <c r="AF10" i="21"/>
  <c r="Z10" i="21"/>
  <c r="U10" i="21"/>
  <c r="P10" i="21"/>
  <c r="AB10" i="21"/>
  <c r="Q10" i="21"/>
  <c r="X10" i="21"/>
  <c r="M10" i="21"/>
  <c r="AC10" i="21"/>
  <c r="R10" i="21"/>
  <c r="L10" i="21"/>
  <c r="AG10" i="21"/>
  <c r="B35" i="19"/>
  <c r="V10" i="21"/>
  <c r="AE8" i="21"/>
  <c r="AA8" i="21"/>
  <c r="W8" i="21"/>
  <c r="S8" i="21"/>
  <c r="O8" i="21"/>
  <c r="AC8" i="21"/>
  <c r="X8" i="21"/>
  <c r="R8" i="21"/>
  <c r="M8" i="21"/>
  <c r="AD8" i="21"/>
  <c r="Y8" i="21"/>
  <c r="T8" i="21"/>
  <c r="N8" i="21"/>
  <c r="AB8" i="21"/>
  <c r="Q8" i="21"/>
  <c r="Z8" i="21"/>
  <c r="P8" i="21"/>
  <c r="AF8" i="21"/>
  <c r="U8" i="21"/>
  <c r="V8" i="21"/>
  <c r="B33" i="19"/>
  <c r="AG8" i="21"/>
  <c r="L8" i="21"/>
  <c r="AG7" i="21"/>
  <c r="AC7" i="21"/>
  <c r="Y7" i="21"/>
  <c r="U7" i="21"/>
  <c r="Q7" i="21"/>
  <c r="M7" i="21"/>
  <c r="AF7" i="21"/>
  <c r="AA7" i="21"/>
  <c r="V7" i="21"/>
  <c r="P7" i="21"/>
  <c r="AB7" i="21"/>
  <c r="W7" i="21"/>
  <c r="R7" i="21"/>
  <c r="L7" i="21"/>
  <c r="AE7" i="21"/>
  <c r="T7" i="21"/>
  <c r="AD7" i="21"/>
  <c r="S7" i="21"/>
  <c r="X7" i="21"/>
  <c r="N7" i="21"/>
  <c r="Z7" i="21"/>
  <c r="O7" i="21"/>
  <c r="B32" i="19"/>
  <c r="AG19" i="21"/>
  <c r="AC19" i="21"/>
  <c r="Y19" i="21"/>
  <c r="U19" i="21"/>
  <c r="Q19" i="21"/>
  <c r="M19" i="21"/>
  <c r="AE19" i="21"/>
  <c r="AA19" i="21"/>
  <c r="W19" i="21"/>
  <c r="S19" i="21"/>
  <c r="O19" i="21"/>
  <c r="AF19" i="21"/>
  <c r="X19" i="21"/>
  <c r="P19" i="21"/>
  <c r="AB19" i="21"/>
  <c r="T19" i="21"/>
  <c r="L19" i="21"/>
  <c r="Z19" i="21"/>
  <c r="R19" i="21"/>
  <c r="AD19" i="21"/>
  <c r="V19" i="21"/>
  <c r="H29" i="19"/>
  <c r="N19" i="21"/>
  <c r="AE18" i="21"/>
  <c r="AA18" i="21"/>
  <c r="W18" i="21"/>
  <c r="S18" i="21"/>
  <c r="O18" i="21"/>
  <c r="AG18" i="21"/>
  <c r="AC18" i="21"/>
  <c r="Y18" i="21"/>
  <c r="U18" i="21"/>
  <c r="Q18" i="21"/>
  <c r="M18" i="21"/>
  <c r="Z18" i="21"/>
  <c r="R18" i="21"/>
  <c r="AD18" i="21"/>
  <c r="V18" i="21"/>
  <c r="N18" i="21"/>
  <c r="AB18" i="21"/>
  <c r="T18" i="21"/>
  <c r="L18" i="21"/>
  <c r="X18" i="21"/>
  <c r="P18" i="21"/>
  <c r="AF18" i="21"/>
  <c r="H28" i="19"/>
  <c r="AG12" i="21"/>
  <c r="AC12" i="21"/>
  <c r="Y12" i="21"/>
  <c r="U12" i="21"/>
  <c r="Q12" i="21"/>
  <c r="M12" i="21"/>
  <c r="AE12" i="21"/>
  <c r="AA12" i="21"/>
  <c r="W12" i="21"/>
  <c r="S12" i="21"/>
  <c r="O12" i="21"/>
  <c r="AF12" i="21"/>
  <c r="X12" i="21"/>
  <c r="P12" i="21"/>
  <c r="Z12" i="21"/>
  <c r="R12" i="21"/>
  <c r="T12" i="21"/>
  <c r="AD12" i="21"/>
  <c r="N12" i="21"/>
  <c r="V12" i="21"/>
  <c r="L12" i="21"/>
  <c r="AB12" i="21"/>
  <c r="B37" i="19"/>
  <c r="AE21" i="21"/>
  <c r="AA21" i="21"/>
  <c r="W21" i="21"/>
  <c r="S21" i="21"/>
  <c r="O21" i="21"/>
  <c r="AC21" i="21"/>
  <c r="X21" i="21"/>
  <c r="R21" i="21"/>
  <c r="M21" i="21"/>
  <c r="AF21" i="21"/>
  <c r="Z21" i="21"/>
  <c r="U21" i="21"/>
  <c r="P21" i="21"/>
  <c r="AG21" i="21"/>
  <c r="V21" i="21"/>
  <c r="L21" i="21"/>
  <c r="AB21" i="21"/>
  <c r="Q21" i="21"/>
  <c r="Y21" i="21"/>
  <c r="N21" i="21"/>
  <c r="T21" i="21"/>
  <c r="AD21" i="21"/>
  <c r="H31" i="19"/>
  <c r="AE23" i="21"/>
  <c r="AA23" i="21"/>
  <c r="W23" i="21"/>
  <c r="S23" i="21"/>
  <c r="O23" i="21"/>
  <c r="AD23" i="21"/>
  <c r="Y23" i="21"/>
  <c r="T23" i="21"/>
  <c r="N23" i="21"/>
  <c r="AG23" i="21"/>
  <c r="AB23" i="21"/>
  <c r="V23" i="21"/>
  <c r="Q23" i="21"/>
  <c r="L23" i="21"/>
  <c r="X23" i="21"/>
  <c r="M23" i="21"/>
  <c r="AC23" i="21"/>
  <c r="R23" i="21"/>
  <c r="Z23" i="21"/>
  <c r="P23" i="21"/>
  <c r="AF23" i="21"/>
  <c r="U23" i="21"/>
  <c r="H33" i="19"/>
  <c r="AG9" i="21"/>
  <c r="AC9" i="21"/>
  <c r="Y9" i="21"/>
  <c r="U9" i="21"/>
  <c r="Q9" i="21"/>
  <c r="M9" i="21"/>
  <c r="AB9" i="21"/>
  <c r="W9" i="21"/>
  <c r="R9" i="21"/>
  <c r="L9" i="21"/>
  <c r="AD9" i="21"/>
  <c r="X9" i="21"/>
  <c r="S9" i="21"/>
  <c r="N9" i="21"/>
  <c r="AE9" i="21"/>
  <c r="T9" i="21"/>
  <c r="AA9" i="21"/>
  <c r="P9" i="21"/>
  <c r="AF9" i="21"/>
  <c r="V9" i="21"/>
  <c r="Z9" i="21"/>
  <c r="O9" i="21"/>
  <c r="B34" i="19"/>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AHPartner_Ausfuhr" type="1" refreshedVersion="4" deleted="1" background="1" saveData="1">
    <dbPr connection="" command=""/>
  </connection>
  <connection id="2" xr16:uid="{00000000-0015-0000-FFFF-FFFF01000000}" name="AHPartner_Länderliste" type="1" refreshedVersion="4" deleted="1" background="1" saveData="1">
    <dbPr connection="" command=""/>
  </connection>
  <connection id="3" xr16:uid="{00000000-0015-0000-FFFF-FFFF02000000}" name="AHPartner_Zeitraum" type="1" refreshedVersion="4" deleted="1" background="1" saveData="1">
    <dbPr connection="" command=""/>
  </connection>
  <connection id="4" xr16:uid="{00000000-0015-0000-FFFF-FFFF03000000}" name="AHPartner_Zeitraum1" type="1" refreshedVersion="4" deleted="1" background="1" saveData="1">
    <dbPr connection="" command=""/>
  </connection>
</connections>
</file>

<file path=xl/sharedStrings.xml><?xml version="1.0" encoding="utf-8"?>
<sst xmlns="http://schemas.openxmlformats.org/spreadsheetml/2006/main" count="543" uniqueCount="166">
  <si>
    <t>Wert</t>
  </si>
  <si>
    <t>LAND</t>
  </si>
  <si>
    <t>Partnerland</t>
  </si>
  <si>
    <t>003</t>
  </si>
  <si>
    <t>004</t>
  </si>
  <si>
    <t>006</t>
  </si>
  <si>
    <t>007</t>
  </si>
  <si>
    <t>008</t>
  </si>
  <si>
    <t>009</t>
  </si>
  <si>
    <t>017</t>
  </si>
  <si>
    <t>024</t>
  </si>
  <si>
    <t>027</t>
  </si>
  <si>
    <t>032</t>
  </si>
  <si>
    <t>043</t>
  </si>
  <si>
    <t>044</t>
  </si>
  <si>
    <t>055</t>
  </si>
  <si>
    <t>076</t>
  </si>
  <si>
    <t>Spalte1</t>
  </si>
  <si>
    <t>Jahr</t>
  </si>
  <si>
    <t>1995</t>
  </si>
  <si>
    <t>1996</t>
  </si>
  <si>
    <t>1997</t>
  </si>
  <si>
    <t>1998</t>
  </si>
  <si>
    <t>1999</t>
  </si>
  <si>
    <t>2000</t>
  </si>
  <si>
    <t>2001</t>
  </si>
  <si>
    <t>2002</t>
  </si>
  <si>
    <t>2003</t>
  </si>
  <si>
    <t>2004</t>
  </si>
  <si>
    <t>2005</t>
  </si>
  <si>
    <t>2006</t>
  </si>
  <si>
    <t>2007</t>
  </si>
  <si>
    <t>2008</t>
  </si>
  <si>
    <t>2009</t>
  </si>
  <si>
    <t>2010</t>
  </si>
  <si>
    <t>2011</t>
  </si>
  <si>
    <t>2012</t>
  </si>
  <si>
    <t>für das Jahr</t>
  </si>
  <si>
    <t>Import</t>
  </si>
  <si>
    <t>Export</t>
  </si>
  <si>
    <t>Auswahl</t>
  </si>
  <si>
    <t>Exportländer-Ranking</t>
  </si>
  <si>
    <t>Importländer-Ranking</t>
  </si>
  <si>
    <t>Auswahl_Jahr</t>
  </si>
  <si>
    <t>Basis_Jahr</t>
  </si>
  <si>
    <t>Basisjahr Index</t>
  </si>
  <si>
    <t>Veränderung</t>
  </si>
  <si>
    <t>Export_Jahre</t>
  </si>
  <si>
    <t>Import_Jahre</t>
  </si>
  <si>
    <t>VON</t>
  </si>
  <si>
    <t>BIS</t>
  </si>
  <si>
    <t>9999</t>
  </si>
  <si>
    <t>2013</t>
  </si>
  <si>
    <t>Von</t>
  </si>
  <si>
    <t>Bis</t>
  </si>
  <si>
    <t>Optionsfeld_Einheit</t>
  </si>
  <si>
    <t>Einheit_Text</t>
  </si>
  <si>
    <t>Einheit_Wert</t>
  </si>
  <si>
    <t>Kartentitel</t>
  </si>
  <si>
    <t>Status</t>
  </si>
  <si>
    <t>e</t>
  </si>
  <si>
    <t>Datenstatus</t>
  </si>
  <si>
    <t>Zeitreihen_Ende</t>
  </si>
  <si>
    <t>2014</t>
  </si>
  <si>
    <t>019</t>
  </si>
  <si>
    <t>025</t>
  </si>
  <si>
    <t>031</t>
  </si>
  <si>
    <t>034</t>
  </si>
  <si>
    <t>035</t>
  </si>
  <si>
    <t>036</t>
  </si>
  <si>
    <t>049</t>
  </si>
  <si>
    <t>051</t>
  </si>
  <si>
    <t>Kürzel_Außenhandelspartner</t>
  </si>
  <si>
    <t>Außenhandelspartner</t>
  </si>
  <si>
    <t>Spalte2</t>
  </si>
  <si>
    <t>Dienstleistungen</t>
  </si>
  <si>
    <t>Gebühren für Lohnveredelung</t>
  </si>
  <si>
    <t>Reparaturdienstleistungen</t>
  </si>
  <si>
    <t>Internationaler Personentransport</t>
  </si>
  <si>
    <t>Frachten</t>
  </si>
  <si>
    <t>Transporthilfsleistungen</t>
  </si>
  <si>
    <t>Post- und Kurierdienste</t>
  </si>
  <si>
    <t>Geschäftsreisen</t>
  </si>
  <si>
    <t>Privatreisen</t>
  </si>
  <si>
    <t>Bauleistungen im Ausland</t>
  </si>
  <si>
    <t>Bauleistungen im Inland</t>
  </si>
  <si>
    <t>Direktversicherungen</t>
  </si>
  <si>
    <t>Rückversicherung</t>
  </si>
  <si>
    <t>Versicherungshilfsdienste</t>
  </si>
  <si>
    <t>Finanzdienstleistungen im engeren Sinn</t>
  </si>
  <si>
    <t>unterstellte Bankgebühr (FISIM)</t>
  </si>
  <si>
    <t>Patente, Lizenzen, Franchisen</t>
  </si>
  <si>
    <t>Telekommunikation</t>
  </si>
  <si>
    <t>EDV-Dienstleistungen</t>
  </si>
  <si>
    <t>Informationsdienstleistungen</t>
  </si>
  <si>
    <t>Forschungs- und Entwicklungsleistungen</t>
  </si>
  <si>
    <t>Rechts- und Wirtschaftsdienste, Werbung und Marktforschung</t>
  </si>
  <si>
    <t>Technische, Handels- und sonstige unternehmensbezogene Dienstleistungen</t>
  </si>
  <si>
    <t>Audiovisuelle und künstlerische Dienstleistungen</t>
  </si>
  <si>
    <t>Gesundheitsdienstleistungen</t>
  </si>
  <si>
    <t>Bildungsdienstleistungen</t>
  </si>
  <si>
    <t>Dienstleistungen für Kultur und Freizeit</t>
  </si>
  <si>
    <t>übrige persönliche Dienstleistungen</t>
  </si>
  <si>
    <t>Regierungsdienstleistungen (Int. Org.)</t>
  </si>
  <si>
    <t>086</t>
  </si>
  <si>
    <t>087</t>
  </si>
  <si>
    <t>088</t>
  </si>
  <si>
    <t>089</t>
  </si>
  <si>
    <t>090</t>
  </si>
  <si>
    <t>091</t>
  </si>
  <si>
    <t>Gesamt</t>
  </si>
  <si>
    <t>Positionen</t>
  </si>
  <si>
    <t>2015</t>
  </si>
  <si>
    <t>manuell anpassen!</t>
  </si>
  <si>
    <t>r</t>
  </si>
  <si>
    <t>2016</t>
  </si>
  <si>
    <t>2017</t>
  </si>
  <si>
    <t>Titel_1Teil</t>
  </si>
  <si>
    <t>Partner</t>
  </si>
  <si>
    <t>Titel_2Teil</t>
  </si>
  <si>
    <t>Einheit</t>
  </si>
  <si>
    <t>Manufacturing services</t>
  </si>
  <si>
    <t>Maintenance and repair services n.i.e.</t>
  </si>
  <si>
    <t>International passenger transport</t>
  </si>
  <si>
    <t>Freight transport</t>
  </si>
  <si>
    <t>Supporting and auxiliary services</t>
  </si>
  <si>
    <t>Postal and courier services</t>
  </si>
  <si>
    <t>Business travel</t>
  </si>
  <si>
    <t>Personal travel</t>
  </si>
  <si>
    <t>Construction abroad</t>
  </si>
  <si>
    <t>Construction in the reporting economy</t>
  </si>
  <si>
    <t>Direct insurance</t>
  </si>
  <si>
    <t>Reinsurance</t>
  </si>
  <si>
    <t>Auxiliary insurance services</t>
  </si>
  <si>
    <t>Explicitly charged financial services (including dealers margins)</t>
  </si>
  <si>
    <t>Financial services indirectly measured (FISIM)</t>
  </si>
  <si>
    <t>Charges for the use of intellectual property n.i.e.</t>
  </si>
  <si>
    <t>Telecommunications services</t>
  </si>
  <si>
    <t>Computer services</t>
  </si>
  <si>
    <t>Information services</t>
  </si>
  <si>
    <t>Research and development services</t>
  </si>
  <si>
    <t>Professional and management consulting services</t>
  </si>
  <si>
    <t>Technical, trade related and other business services</t>
  </si>
  <si>
    <t>Audiovisual services</t>
  </si>
  <si>
    <t>Health services</t>
  </si>
  <si>
    <t>Education services</t>
  </si>
  <si>
    <t>Heritage and recreational services</t>
  </si>
  <si>
    <t>Other personal services</t>
  </si>
  <si>
    <t>Government goods and services n.i.e.</t>
  </si>
  <si>
    <t>Services</t>
  </si>
  <si>
    <t>Verfügbarkeit</t>
  </si>
  <si>
    <t>Kartentitel_Veränderung</t>
  </si>
  <si>
    <t>Kartentitel_Eingangsentwicklung</t>
  </si>
  <si>
    <t>Kartentitel_Ausgangsentwicklung</t>
  </si>
  <si>
    <t>Metadata</t>
  </si>
  <si>
    <t>in Mill. €</t>
  </si>
  <si>
    <t>=SVERWEIS([@LAND];Tabelle_Abfrage_von_MS_Access_Database4[[LAND]:[Partnerland]];2;FALSCH)</t>
  </si>
  <si>
    <t>2018</t>
  </si>
  <si>
    <t>2019</t>
  </si>
  <si>
    <t>2020</t>
  </si>
  <si>
    <t>2021</t>
  </si>
  <si>
    <t>2022</t>
  </si>
  <si>
    <t>2023</t>
  </si>
  <si>
    <t>2024</t>
  </si>
  <si>
    <t>v</t>
  </si>
  <si>
    <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</si>
</sst>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00\ &quot;€&quot;_-;\-* #,##0.00\ &quot;€&quot;_-;_-* &quot;-&quot;??\ &quot;€&quot;_-;_-@_-"/>
    <numFmt numFmtId="166" formatCode="_-* #,##0_-;\-* #,##0_-;_-* &quot;-&quot;??_-;_-@_-"/>
    <numFmt numFmtId="167" formatCode="0.0%"/>
  </numFmts>
  <fonts count="18" x14ac:knownFonts="1">
    <font>
      <sz val="10"/>
      <name val="Arial"/>
      <family val="2"/>
    </font>
    <font>
      <sz val="10"/>
      <name val="Arial"/>
      <family val="2"/>
    </font>
    <font>
      <sz val="8"/>
      <name val="Arial"/>
      <family val="2"/>
    </font>
    <font>
      <sz val="10"/>
      <name val="Trebuchet MS"/>
      <family val="2"/>
    </font>
    <font>
      <b/>
      <sz val="10"/>
      <name val="Trebuchet MS"/>
      <family val="2"/>
    </font>
    <font>
      <sz val="10"/>
      <color theme="1"/>
      <name val="Arial"/>
      <family val="2"/>
    </font>
    <font>
      <b/>
      <sz val="11"/>
      <color rgb="FF375F91"/>
      <name val="Trebuchet MS"/>
      <family val="2"/>
    </font>
    <font>
      <b/>
      <sz val="12"/>
      <name val="Trebuchet MS"/>
      <family val="2"/>
    </font>
    <font>
      <sz val="11"/>
      <color indexed="8"/>
      <name val="Calibri"/>
      <family val="2"/>
    </font>
    <font>
      <sz val="10"/>
      <color indexed="8"/>
      <name val="Arial"/>
      <family val="2"/>
    </font>
    <font>
      <b/>
      <sz val="8"/>
      <name val="Trebuchet MS"/>
      <family val="2"/>
    </font>
    <font>
      <sz val="11"/>
      <color indexed="8"/>
      <name val="Calibri"/>
      <family val="2"/>
    </font>
    <font>
      <sz val="10"/>
      <color indexed="8"/>
      <name val="Arial"/>
      <family val="2"/>
    </font>
    <font>
      <sz val="10"/>
      <color rgb="FFFF0000"/>
      <name val="Arial"/>
      <family val="2"/>
    </font>
    <font>
      <b/>
      <sz val="12"/>
      <color rgb="FFE20613"/>
      <name val="Trebuchet MS"/>
      <family val="2"/>
    </font>
    <font>
      <sz val="10"/>
      <color rgb="FFE6E6E6"/>
      <name val="Arial"/>
      <family val="2"/>
    </font>
    <font>
      <b/>
      <sz val="10"/>
      <color rgb="FF666666"/>
      <name val="Trebuchet MS"/>
      <family val="2"/>
    </font>
    <font>
      <sz val="8"/>
      <color rgb="FF000000"/>
      <name val="Segoe UI"/>
      <family val="2"/>
    </font>
  </fonts>
  <fills count="6">
    <fill>
      <patternFill patternType="none"/>
    </fill>
    <fill>
      <patternFill patternType="gray125"/>
    </fill>
    <fill>
      <patternFill patternType="solid">
        <fgColor indexed="44"/>
        <bgColor indexed="64"/>
      </patternFill>
    </fill>
    <fill>
      <patternFill patternType="solid">
        <fgColor indexed="22"/>
        <bgColor indexed="0"/>
      </patternFill>
    </fill>
    <fill>
      <patternFill patternType="solid">
        <fgColor rgb="FFFFFF00"/>
        <bgColor indexed="64"/>
      </patternFill>
    </fill>
    <fill>
      <patternFill patternType="solid">
        <fgColor rgb="FFE6E6E6"/>
        <bgColor indexed="64"/>
      </patternFill>
    </fill>
  </fills>
  <borders count="9">
    <border>
      <left/>
      <right/>
      <top/>
      <bottom/>
      <diagonal/>
    </border>
    <border>
      <left style="thin">
        <color theme="0"/>
      </left>
      <right/>
      <top style="thin">
        <color theme="0"/>
      </top>
      <bottom style="thin">
        <color theme="0"/>
      </bottom>
      <diagonal/>
    </border>
    <border>
      <left/>
      <right/>
      <top style="thin">
        <color auto="1"/>
      </top>
      <bottom/>
      <diagonal/>
    </border>
    <border>
      <left style="thin">
        <color auto="1"/>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rgb="FFE20613"/>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diagonal/>
    </border>
  </borders>
  <cellStyleXfs count="10">
    <xf numFmtId="0" fontId="0" fillId="0" borderId="0"/>
    <xf numFmtId="165"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9" fillId="0" borderId="0"/>
    <xf numFmtId="0" fontId="12" fillId="0" borderId="0"/>
    <xf numFmtId="0" fontId="12" fillId="0" borderId="0"/>
    <xf numFmtId="0" fontId="9" fillId="0" borderId="0"/>
    <xf numFmtId="0" fontId="9" fillId="0" borderId="0"/>
    <xf numFmtId="0" fontId="9" fillId="0" borderId="0"/>
  </cellStyleXfs>
  <cellXfs count="68">
    <xf numFmtId="0" fontId="0" fillId="0" borderId="0" xfId="0"/>
    <xf numFmtId="164" fontId="0" fillId="0" borderId="0" xfId="0" applyNumberFormat="1"/>
    <xf numFmtId="0" fontId="0" fillId="0" borderId="0" xfId="0" applyAlignment="1">
      <alignment horizontal="center"/>
    </xf>
    <xf numFmtId="0" fontId="1" fillId="0" borderId="0" xfId="0" applyFont="1" applyAlignment="1">
      <alignment horizontal="center"/>
    </xf>
    <xf numFmtId="0" fontId="0" fillId="0" borderId="0" xfId="0" applyAlignment="1">
      <alignment horizontal="right"/>
    </xf>
    <xf numFmtId="0" fontId="5" fillId="2" borderId="1" xfId="0" applyFont="1" applyFill="1" applyBorder="1" applyAlignment="1">
      <alignment horizontal="right"/>
    </xf>
    <xf numFmtId="0" fontId="1" fillId="0" borderId="0" xfId="0" applyFont="1" applyAlignment="1">
      <alignment horizontal="right"/>
    </xf>
    <xf numFmtId="0" fontId="0" fillId="2" borderId="0" xfId="0" applyFill="1" applyAlignment="1">
      <alignment horizontal="right"/>
    </xf>
    <xf numFmtId="1" fontId="0" fillId="0" borderId="0" xfId="0" applyNumberFormat="1"/>
    <xf numFmtId="0" fontId="8" fillId="3" borderId="4" xfId="4" applyFont="1" applyFill="1" applyBorder="1" applyAlignment="1">
      <alignment horizontal="center"/>
    </xf>
    <xf numFmtId="0" fontId="8" fillId="0" borderId="5" xfId="4" applyFont="1" applyBorder="1"/>
    <xf numFmtId="0" fontId="8" fillId="0" borderId="5" xfId="5" quotePrefix="1" applyFont="1" applyBorder="1"/>
    <xf numFmtId="0" fontId="11" fillId="0" borderId="5" xfId="6" applyFont="1" applyBorder="1"/>
    <xf numFmtId="0" fontId="13" fillId="4" borderId="0" xfId="0" applyFont="1" applyFill="1"/>
    <xf numFmtId="0" fontId="0" fillId="5" borderId="0" xfId="0" applyFill="1" applyProtection="1">
      <protection hidden="1"/>
    </xf>
    <xf numFmtId="0" fontId="0" fillId="0" borderId="2" xfId="0" applyBorder="1" applyProtection="1">
      <protection hidden="1"/>
    </xf>
    <xf numFmtId="0" fontId="0" fillId="0" borderId="0" xfId="0" applyProtection="1">
      <protection hidden="1"/>
    </xf>
    <xf numFmtId="0" fontId="7" fillId="5" borderId="0" xfId="0" applyFont="1" applyFill="1" applyProtection="1">
      <protection hidden="1"/>
    </xf>
    <xf numFmtId="0" fontId="6" fillId="5" borderId="0" xfId="0" applyFont="1" applyFill="1" applyProtection="1">
      <protection hidden="1"/>
    </xf>
    <xf numFmtId="0" fontId="14" fillId="5" borderId="0" xfId="0" applyFont="1" applyFill="1" applyAlignment="1" applyProtection="1">
      <alignment horizontal="center"/>
      <protection hidden="1"/>
    </xf>
    <xf numFmtId="0" fontId="4" fillId="5" borderId="0" xfId="0" applyFont="1" applyFill="1" applyAlignment="1" applyProtection="1">
      <alignment horizontal="right"/>
      <protection hidden="1"/>
    </xf>
    <xf numFmtId="0" fontId="4" fillId="5" borderId="0" xfId="0" applyFont="1" applyFill="1" applyAlignment="1" applyProtection="1">
      <alignment horizontal="left"/>
      <protection hidden="1"/>
    </xf>
    <xf numFmtId="0" fontId="15" fillId="5" borderId="0" xfId="0" applyFont="1" applyFill="1" applyProtection="1">
      <protection hidden="1"/>
    </xf>
    <xf numFmtId="0" fontId="16" fillId="5" borderId="6" xfId="0" applyFont="1" applyFill="1" applyBorder="1" applyProtection="1">
      <protection hidden="1"/>
    </xf>
    <xf numFmtId="0" fontId="4" fillId="5" borderId="6" xfId="0" applyFont="1" applyFill="1" applyBorder="1" applyProtection="1">
      <protection hidden="1"/>
    </xf>
    <xf numFmtId="0" fontId="0" fillId="5" borderId="6" xfId="0" applyFill="1" applyBorder="1" applyProtection="1">
      <protection hidden="1"/>
    </xf>
    <xf numFmtId="0" fontId="3" fillId="5" borderId="6" xfId="0" applyFont="1" applyFill="1" applyBorder="1" applyAlignment="1" applyProtection="1">
      <alignment horizontal="center"/>
      <protection hidden="1"/>
    </xf>
    <xf numFmtId="0" fontId="3" fillId="0" borderId="0" xfId="0" applyFont="1" applyAlignment="1" applyProtection="1">
      <alignment horizontal="right"/>
      <protection hidden="1"/>
    </xf>
    <xf numFmtId="166" fontId="3" fillId="0" borderId="0" xfId="2" applyNumberFormat="1" applyFont="1" applyBorder="1" applyProtection="1">
      <protection hidden="1"/>
    </xf>
    <xf numFmtId="0" fontId="3" fillId="0" borderId="0" xfId="0" applyFont="1" applyProtection="1">
      <protection hidden="1"/>
    </xf>
    <xf numFmtId="0" fontId="3" fillId="0" borderId="0" xfId="0" applyFont="1" applyAlignment="1" applyProtection="1">
      <alignment wrapText="1"/>
      <protection hidden="1"/>
    </xf>
    <xf numFmtId="0" fontId="3" fillId="0" borderId="0" xfId="0" applyFont="1" applyAlignment="1" applyProtection="1">
      <alignment horizontal="left"/>
      <protection hidden="1"/>
    </xf>
    <xf numFmtId="166" fontId="0" fillId="0" borderId="0" xfId="0" applyNumberFormat="1" applyAlignment="1" applyProtection="1">
      <alignment horizontal="right"/>
      <protection hidden="1"/>
    </xf>
    <xf numFmtId="166" fontId="3" fillId="0" borderId="0" xfId="0" applyNumberFormat="1" applyFont="1" applyAlignment="1" applyProtection="1">
      <alignment horizontal="right"/>
      <protection hidden="1"/>
    </xf>
    <xf numFmtId="0" fontId="10" fillId="0" borderId="0" xfId="0" applyFont="1" applyAlignment="1" applyProtection="1">
      <alignment horizontal="center"/>
      <protection hidden="1"/>
    </xf>
    <xf numFmtId="0" fontId="7" fillId="0" borderId="0" xfId="0" applyFont="1" applyProtection="1">
      <protection hidden="1"/>
    </xf>
    <xf numFmtId="0" fontId="3" fillId="5" borderId="0" xfId="0" applyFont="1" applyFill="1" applyProtection="1">
      <protection hidden="1"/>
    </xf>
    <xf numFmtId="166" fontId="3" fillId="5" borderId="0" xfId="2" applyNumberFormat="1" applyFont="1" applyFill="1" applyBorder="1" applyProtection="1">
      <protection hidden="1"/>
    </xf>
    <xf numFmtId="167" fontId="3" fillId="5" borderId="0" xfId="3" applyNumberFormat="1" applyFont="1" applyFill="1" applyBorder="1" applyProtection="1">
      <protection hidden="1"/>
    </xf>
    <xf numFmtId="166" fontId="3" fillId="5" borderId="0" xfId="2" applyNumberFormat="1" applyFont="1" applyFill="1" applyBorder="1" applyAlignment="1" applyProtection="1">
      <protection hidden="1"/>
    </xf>
    <xf numFmtId="0" fontId="3" fillId="0" borderId="3" xfId="0" applyFont="1" applyBorder="1" applyProtection="1">
      <protection hidden="1"/>
    </xf>
    <xf numFmtId="167" fontId="3" fillId="0" borderId="0" xfId="3" applyNumberFormat="1" applyFont="1" applyFill="1" applyBorder="1" applyProtection="1">
      <protection hidden="1"/>
    </xf>
    <xf numFmtId="166" fontId="3" fillId="0" borderId="0" xfId="2" applyNumberFormat="1" applyFont="1" applyFill="1" applyBorder="1" applyProtection="1">
      <protection hidden="1"/>
    </xf>
    <xf numFmtId="166" fontId="3" fillId="0" borderId="0" xfId="2" applyNumberFormat="1" applyFont="1" applyBorder="1" applyAlignment="1" applyProtection="1">
      <protection hidden="1"/>
    </xf>
    <xf numFmtId="0" fontId="4" fillId="0" borderId="0" xfId="0" applyFont="1" applyProtection="1">
      <protection hidden="1"/>
    </xf>
    <xf numFmtId="166" fontId="4" fillId="0" borderId="0" xfId="2" applyNumberFormat="1" applyFont="1" applyFill="1" applyBorder="1" applyAlignment="1" applyProtection="1">
      <protection hidden="1"/>
    </xf>
    <xf numFmtId="0" fontId="14" fillId="5" borderId="6" xfId="0" applyFont="1" applyFill="1" applyBorder="1" applyAlignment="1" applyProtection="1">
      <alignment horizontal="right"/>
      <protection hidden="1"/>
    </xf>
    <xf numFmtId="0" fontId="7" fillId="5" borderId="6" xfId="0" applyFont="1" applyFill="1" applyBorder="1" applyAlignment="1" applyProtection="1">
      <alignment horizontal="center"/>
      <protection hidden="1"/>
    </xf>
    <xf numFmtId="0" fontId="3" fillId="5" borderId="6" xfId="0" applyFont="1" applyFill="1" applyBorder="1" applyAlignment="1" applyProtection="1">
      <alignment horizontal="left"/>
      <protection hidden="1"/>
    </xf>
    <xf numFmtId="0" fontId="3" fillId="5" borderId="6" xfId="0" applyFont="1" applyFill="1" applyBorder="1" applyProtection="1">
      <protection hidden="1"/>
    </xf>
    <xf numFmtId="0" fontId="3" fillId="0" borderId="0" xfId="0" applyFont="1" applyAlignment="1">
      <alignment horizontal="left"/>
    </xf>
    <xf numFmtId="0" fontId="3" fillId="0" borderId="0" xfId="0" applyFont="1"/>
    <xf numFmtId="0" fontId="0" fillId="0" borderId="0" xfId="0" quotePrefix="1"/>
    <xf numFmtId="0" fontId="4" fillId="0" borderId="0" xfId="0" applyFont="1"/>
    <xf numFmtId="0" fontId="0" fillId="4" borderId="0" xfId="0" quotePrefix="1" applyFill="1"/>
    <xf numFmtId="0" fontId="0" fillId="4" borderId="0" xfId="0" applyFill="1"/>
    <xf numFmtId="0" fontId="8" fillId="3" borderId="4" xfId="7" applyFont="1" applyFill="1" applyBorder="1" applyAlignment="1">
      <alignment horizontal="center"/>
    </xf>
    <xf numFmtId="0" fontId="8" fillId="0" borderId="5" xfId="7" applyFont="1" applyBorder="1" applyAlignment="1">
      <alignment wrapText="1"/>
    </xf>
    <xf numFmtId="0" fontId="8" fillId="3" borderId="4" xfId="8" applyFont="1" applyFill="1" applyBorder="1" applyAlignment="1">
      <alignment horizontal="center"/>
    </xf>
    <xf numFmtId="0" fontId="8" fillId="0" borderId="5" xfId="8" applyFont="1" applyBorder="1" applyAlignment="1">
      <alignment wrapText="1"/>
    </xf>
    <xf numFmtId="0" fontId="7" fillId="5" borderId="0" xfId="0" applyFont="1" applyFill="1" applyAlignment="1" applyProtection="1">
      <alignment horizontal="right"/>
      <protection hidden="1"/>
    </xf>
    <xf numFmtId="0" fontId="7" fillId="5" borderId="6" xfId="0" applyFont="1" applyFill="1" applyBorder="1" applyAlignment="1" applyProtection="1">
      <alignment horizontal="right"/>
      <protection hidden="1"/>
    </xf>
    <xf numFmtId="0" fontId="0" fillId="0" borderId="0" xfId="0" applyAlignment="1">
      <alignment horizontal="center"/>
    </xf>
    <xf numFmtId="0" fontId="8" fillId="3" borderId="4" xfId="9" applyFont="1" applyFill="1" applyBorder="1" applyAlignment="1">
      <alignment horizontal="center"/>
    </xf>
    <xf numFmtId="0" fontId="8" fillId="0" borderId="5" xfId="9" applyFont="1" applyFill="1" applyBorder="1" applyAlignment="1">
      <alignment horizontal="right"/>
    </xf>
    <xf numFmtId="0" fontId="9" fillId="0" borderId="0" xfId="9" applyAlignment="1"/>
    <xf numFmtId="0" fontId="8" fillId="0" borderId="7" xfId="9" applyFont="1" applyFill="1" applyBorder="1" applyAlignment="1">
      <alignment horizontal="right"/>
    </xf>
    <xf numFmtId="0" fontId="8" fillId="0" borderId="8" xfId="9" applyFont="1" applyFill="1" applyBorder="1" applyAlignment="1">
      <alignment horizontal="right"/>
    </xf>
  </cellXfs>
  <cellStyles count="10">
    <cellStyle name="Euro" xfId="1" xr:uid="{00000000-0005-0000-0000-000000000000}"/>
    <cellStyle name="Komma" xfId="2" builtinId="3"/>
    <cellStyle name="Prozent" xfId="3" builtinId="5"/>
    <cellStyle name="Standard" xfId="0" builtinId="0"/>
    <cellStyle name="Standard_Dropdown" xfId="4" xr:uid="{00000000-0005-0000-0000-000004000000}"/>
    <cellStyle name="Standard_Export" xfId="7" xr:uid="{7C965708-157F-4EBA-86B0-AC6BB8DB7F03}"/>
    <cellStyle name="Standard_Export_1" xfId="5" xr:uid="{00000000-0005-0000-0000-000005000000}"/>
    <cellStyle name="Standard_Import" xfId="8" xr:uid="{6A8C5024-B346-497D-88D8-16F88B837250}"/>
    <cellStyle name="Standard_Import_1" xfId="6" xr:uid="{00000000-0005-0000-0000-000006000000}"/>
    <cellStyle name="Standard_Tabelle1" xfId="9" xr:uid="{C8C65B71-3667-4F27-9815-348530624135}"/>
  </cellStyles>
  <dxfs count="77">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val="0"/>
        <i val="0"/>
        <strike val="0"/>
        <condense val="0"/>
        <extend val="0"/>
        <outline val="0"/>
        <shadow val="0"/>
        <u val="none"/>
        <vertAlign val="baseline"/>
        <sz val="11"/>
        <color indexed="8"/>
        <name val="Calibr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
      <font>
        <b/>
        <i val="0"/>
        <color rgb="FFE20613"/>
      </font>
      <numFmt numFmtId="0" formatCode="General"/>
      <fill>
        <patternFill patternType="solid">
          <bgColor rgb="FFE6E6E6"/>
        </patternFill>
      </fill>
    </dxf>
    <dxf>
      <font>
        <b/>
        <i val="0"/>
        <color rgb="FFE20613"/>
      </font>
      <fill>
        <patternFill>
          <bgColor rgb="FFE6E6E6"/>
        </patternFill>
      </fill>
    </dxf>
    <dxf>
      <font>
        <b/>
        <i val="0"/>
        <color rgb="FFE20613"/>
      </font>
      <fill>
        <patternFill>
          <bgColor rgb="FFE6E6E6"/>
        </patternFill>
      </fill>
    </dxf>
    <dxf>
      <font>
        <b/>
        <i val="0"/>
        <color rgb="FFE20613"/>
      </font>
      <fill>
        <patternFill>
          <bgColor rgb="FFE6E6E6"/>
        </patternFill>
      </fill>
    </dxf>
    <dxf>
      <alignment vertical="bottom" textRotation="0" wrapText="0" indent="0" justifyLastLine="0" shrinkToFit="0" readingOrder="0"/>
    </dxf>
    <dxf>
      <alignment vertical="bottom" textRotation="0" wrapText="0" indent="0" justifyLastLine="0" shrinkToFit="0" readingOrder="0"/>
    </dxf>
    <dxf>
      <alignment horizontal="center" vertical="bottom" textRotation="0" wrapText="0" indent="0" justifyLastLine="0" shrinkToFit="0" readingOrder="0"/>
    </dxf>
    <dxf>
      <alignment vertical="bottom" textRotation="0" wrapText="0" indent="0" justifyLastLine="0" shrinkToFit="0" readingOrder="0"/>
    </dxf>
    <dxf>
      <alignment vertical="bottom" textRotation="0" wrapText="0" indent="0" justifyLastLine="0" shrinkToFit="0" readingOrder="0"/>
    </dxf>
    <dxf>
      <alignment horizontal="center" vertical="bottom" textRotation="0" wrapText="0" indent="0" justifyLastLine="0" shrinkToFit="0" readingOrder="0"/>
    </dxf>
    <dxf>
      <numFmt numFmtId="0" formatCode="General"/>
    </dxf>
    <dxf>
      <numFmt numFmtId="0" formatCode="General"/>
      <fill>
        <patternFill patternType="none">
          <fgColor indexed="64"/>
          <bgColor indexed="65"/>
        </patternFill>
      </fill>
    </dxf>
    <dxf>
      <fill>
        <patternFill patternType="none">
          <fgColor indexed="64"/>
          <bgColor indexed="65"/>
        </patternFill>
      </fill>
    </dxf>
    <dxf>
      <numFmt numFmtId="0" formatCode="General"/>
    </dxf>
    <dxf>
      <font>
        <b val="0"/>
        <i val="0"/>
        <strike val="0"/>
        <condense val="0"/>
        <extend val="0"/>
        <outline val="0"/>
        <shadow val="0"/>
        <u val="none"/>
        <vertAlign val="baseline"/>
        <sz val="11"/>
        <color indexed="8"/>
        <name val="Calibri"/>
        <scheme val="none"/>
      </font>
      <fill>
        <patternFill patternType="none">
          <fgColor indexed="64"/>
          <bgColor indexed="65"/>
        </patternFill>
      </fill>
      <alignment horizontal="general" vertical="bottom" textRotation="0" wrapText="0" indent="0" justifyLastLine="0" shrinkToFit="0" readingOrder="0"/>
      <border diagonalUp="0" diagonalDown="0">
        <left style="thin">
          <color indexed="22"/>
        </left>
        <right style="thin">
          <color indexed="22"/>
        </right>
        <top style="thin">
          <color indexed="22"/>
        </top>
        <bottom style="thin">
          <color indexed="22"/>
        </bottom>
        <vertical/>
        <horizontal/>
      </border>
    </dxf>
  </dxfs>
  <tableStyles count="0" defaultTableStyle="TableStyleMedium9" defaultPivotStyle="PivotStyleLight16"/>
  <colors>
    <mruColors>
      <color rgb="FFE20613"/>
      <color rgb="FFE6E6E6"/>
      <color rgb="FF666666"/>
      <color rgb="FFCCCCCC"/>
      <color rgb="FFFC8086"/>
      <color rgb="FFB3B3B3"/>
      <color rgb="FFCC3300"/>
      <color rgb="FF963737"/>
      <color rgb="FF375F91"/>
      <color rgb="FF8282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[0]!Kartentitel</c:f>
          <c:strCache>
            <c:ptCount val="1"/>
            <c:pt idx="0">
              <c:v>Dienstleistungsverkehr in Mio. Euro</c:v>
            </c:pt>
          </c:strCache>
        </c:strRef>
      </c:tx>
      <c:layout>
        <c:manualLayout>
          <c:xMode val="edge"/>
          <c:yMode val="edge"/>
          <c:x val="7.1250120904370967E-2"/>
          <c:y val="1.860885203778662E-2"/>
        </c:manualLayout>
      </c:layout>
      <c:overlay val="0"/>
      <c:txPr>
        <a:bodyPr/>
        <a:lstStyle/>
        <a:p>
          <a:pPr>
            <a:defRPr sz="1200"/>
          </a:pPr>
          <a:endParaRPr lang="de-DE"/>
        </a:p>
      </c:txPr>
    </c:title>
    <c:autoTitleDeleted val="0"/>
    <c:plotArea>
      <c:layout>
        <c:manualLayout>
          <c:layoutTarget val="inner"/>
          <c:xMode val="edge"/>
          <c:yMode val="edge"/>
          <c:x val="9.7458661417322831E-2"/>
          <c:y val="0.13468131353517324"/>
          <c:w val="0.86689664897236129"/>
          <c:h val="0.683128972881614"/>
        </c:manualLayout>
      </c:layout>
      <c:lineChart>
        <c:grouping val="standard"/>
        <c:varyColors val="0"/>
        <c:ser>
          <c:idx val="0"/>
          <c:order val="0"/>
          <c:tx>
            <c:strRef>
              <c:f>Dashboard!$K$2</c:f>
              <c:strCache>
                <c:ptCount val="1"/>
                <c:pt idx="0">
                  <c:v>Eingang</c:v>
                </c:pt>
              </c:strCache>
            </c:strRef>
          </c:tx>
          <c:spPr>
            <a:ln>
              <a:solidFill>
                <a:srgbClr val="E20613"/>
              </a:solidFill>
            </a:ln>
          </c:spPr>
          <c:marker>
            <c:symbol val="none"/>
          </c:marker>
          <c:cat>
            <c:numRef>
              <c:f>[0]!Diagramm_Absolut_Jahreszahlen</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[0]!Diagramm_Absolut_Exporte</c:f>
              <c:numCache>
                <c:formatCode>0</c:formatCode>
                <c:ptCount val="31"/>
                <c:pt idx="0">
                  <c:v>8337</c:v>
                </c:pt>
                <c:pt idx="1">
                  <c:v>8286</c:v>
                </c:pt>
                <c:pt idx="2">
                  <c:v>8156</c:v>
                </c:pt>
                <c:pt idx="3">
                  <c:v>8068</c:v>
                </c:pt>
                <c:pt idx="4">
                  <c:v>8463</c:v>
                </c:pt>
                <c:pt idx="5">
                  <c:v>8875</c:v>
                </c:pt>
                <c:pt idx="6">
                  <c:v>9290</c:v>
                </c:pt>
                <c:pt idx="7">
                  <c:v>9752</c:v>
                </c:pt>
                <c:pt idx="8">
                  <c:v>10051</c:v>
                </c:pt>
                <c:pt idx="9">
                  <c:v>10213</c:v>
                </c:pt>
                <c:pt idx="10">
                  <c:v>10590</c:v>
                </c:pt>
                <c:pt idx="11">
                  <c:v>10822</c:v>
                </c:pt>
                <c:pt idx="12">
                  <c:v>11003</c:v>
                </c:pt>
                <c:pt idx="13">
                  <c:v>12107</c:v>
                </c:pt>
                <c:pt idx="14">
                  <c:v>11727</c:v>
                </c:pt>
                <c:pt idx="15">
                  <c:v>11875</c:v>
                </c:pt>
                <c:pt idx="16">
                  <c:v>12147</c:v>
                </c:pt>
                <c:pt idx="17">
                  <c:v>12508</c:v>
                </c:pt>
                <c:pt idx="18">
                  <c:v>12939</c:v>
                </c:pt>
                <c:pt idx="19">
                  <c:v>13371</c:v>
                </c:pt>
                <c:pt idx="20">
                  <c:v>14139</c:v>
                </c:pt>
                <c:pt idx="21">
                  <c:v>14967</c:v>
                </c:pt>
                <c:pt idx="22">
                  <c:v>15672</c:v>
                </c:pt>
                <c:pt idx="23">
                  <c:v>16868</c:v>
                </c:pt>
                <c:pt idx="24">
                  <c:v>17554</c:v>
                </c:pt>
                <c:pt idx="25">
                  <c:v>10292</c:v>
                </c:pt>
                <c:pt idx="26">
                  <c:v>7077</c:v>
                </c:pt>
                <c:pt idx="27">
                  <c:v>16208</c:v>
                </c:pt>
                <c:pt idx="28">
                  <c:v>19570</c:v>
                </c:pt>
                <c:pt idx="29">
                  <c:v>20804</c:v>
                </c:pt>
                <c:pt idx="30">
                  <c:v>22238</c:v>
                </c:pt>
              </c:numCache>
            </c:numRef>
          </c:val>
          <c:smooth val="0"/>
          <c:extLst>
            <c:ext xmlns:c16="http://schemas.microsoft.com/office/drawing/2014/chart" uri="{C3380CC4-5D6E-409C-BE32-E72D297353CC}">
              <c16:uniqueId val="{00000000-17CA-47B3-B7A0-B4424DCBFD50}"/>
            </c:ext>
          </c:extLst>
        </c:ser>
        <c:ser>
          <c:idx val="1"/>
          <c:order val="1"/>
          <c:tx>
            <c:strRef>
              <c:f>Dashboard!$L$2</c:f>
              <c:strCache>
                <c:ptCount val="1"/>
                <c:pt idx="0">
                  <c:v>Ausgang</c:v>
                </c:pt>
              </c:strCache>
            </c:strRef>
          </c:tx>
          <c:spPr>
            <a:ln>
              <a:solidFill>
                <a:srgbClr val="666666"/>
              </a:solidFill>
            </a:ln>
          </c:spPr>
          <c:marker>
            <c:symbol val="none"/>
          </c:marker>
          <c:cat>
            <c:numRef>
              <c:f>[0]!Diagramm_Absolut_Jahreszahlen</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[0]!Diagramm_Absolut_Importe</c:f>
              <c:numCache>
                <c:formatCode>0</c:formatCode>
                <c:ptCount val="31"/>
                <c:pt idx="0">
                  <c:v>4544</c:v>
                </c:pt>
                <c:pt idx="1">
                  <c:v>4850</c:v>
                </c:pt>
                <c:pt idx="2">
                  <c:v>5088</c:v>
                </c:pt>
                <c:pt idx="3">
                  <c:v>4879</c:v>
                </c:pt>
                <c:pt idx="4">
                  <c:v>4958</c:v>
                </c:pt>
                <c:pt idx="5">
                  <c:v>5263</c:v>
                </c:pt>
                <c:pt idx="6">
                  <c:v>5690</c:v>
                </c:pt>
                <c:pt idx="7">
                  <c:v>5644</c:v>
                </c:pt>
                <c:pt idx="8">
                  <c:v>6011</c:v>
                </c:pt>
                <c:pt idx="9">
                  <c:v>5843</c:v>
                </c:pt>
                <c:pt idx="10">
                  <c:v>5942</c:v>
                </c:pt>
                <c:pt idx="11">
                  <c:v>6077</c:v>
                </c:pt>
                <c:pt idx="12">
                  <c:v>6057</c:v>
                </c:pt>
                <c:pt idx="13">
                  <c:v>6128</c:v>
                </c:pt>
                <c:pt idx="14">
                  <c:v>6452</c:v>
                </c:pt>
                <c:pt idx="15">
                  <c:v>6416</c:v>
                </c:pt>
                <c:pt idx="16">
                  <c:v>6177</c:v>
                </c:pt>
                <c:pt idx="17">
                  <c:v>6454</c:v>
                </c:pt>
                <c:pt idx="18">
                  <c:v>6511</c:v>
                </c:pt>
                <c:pt idx="19">
                  <c:v>6872</c:v>
                </c:pt>
                <c:pt idx="20">
                  <c:v>6936</c:v>
                </c:pt>
                <c:pt idx="21">
                  <c:v>7329</c:v>
                </c:pt>
                <c:pt idx="22">
                  <c:v>7987</c:v>
                </c:pt>
                <c:pt idx="23">
                  <c:v>8591</c:v>
                </c:pt>
                <c:pt idx="24">
                  <c:v>8780</c:v>
                </c:pt>
                <c:pt idx="25">
                  <c:v>3038</c:v>
                </c:pt>
                <c:pt idx="26">
                  <c:v>5249</c:v>
                </c:pt>
                <c:pt idx="27">
                  <c:v>10225</c:v>
                </c:pt>
                <c:pt idx="28">
                  <c:v>12082</c:v>
                </c:pt>
                <c:pt idx="29">
                  <c:v>13264</c:v>
                </c:pt>
                <c:pt idx="30">
                  <c:v>13906</c:v>
                </c:pt>
              </c:numCache>
            </c:numRef>
          </c:val>
          <c:smooth val="0"/>
          <c:extLst>
            <c:ext xmlns:c16="http://schemas.microsoft.com/office/drawing/2014/chart" uri="{C3380CC4-5D6E-409C-BE32-E72D297353CC}">
              <c16:uniqueId val="{00000001-17CA-47B3-B7A0-B4424DCBFD50}"/>
            </c:ext>
          </c:extLst>
        </c:ser>
        <c:dLbls>
          <c:showLegendKey val="0"/>
          <c:showVal val="0"/>
          <c:showCatName val="0"/>
          <c:showSerName val="0"/>
          <c:showPercent val="0"/>
          <c:showBubbleSize val="0"/>
        </c:dLbls>
        <c:smooth val="0"/>
        <c:axId val="104592128"/>
        <c:axId val="104593664"/>
      </c:lineChart>
      <c:catAx>
        <c:axId val="104592128"/>
        <c:scaling>
          <c:orientation val="minMax"/>
        </c:scaling>
        <c:delete val="0"/>
        <c:axPos val="b"/>
        <c:numFmt formatCode="General" sourceLinked="1"/>
        <c:majorTickMark val="out"/>
        <c:minorTickMark val="none"/>
        <c:tickLblPos val="nextTo"/>
        <c:spPr>
          <a:ln w="6350">
            <a:solidFill>
              <a:srgbClr val="B3B3B3"/>
            </a:solidFill>
          </a:ln>
        </c:spPr>
        <c:txPr>
          <a:bodyPr rot="-5400000" vert="horz"/>
          <a:lstStyle/>
          <a:p>
            <a:pPr>
              <a:defRPr sz="1000"/>
            </a:pPr>
            <a:endParaRPr lang="de-DE"/>
          </a:p>
        </c:txPr>
        <c:crossAx val="104593664"/>
        <c:crosses val="autoZero"/>
        <c:auto val="1"/>
        <c:lblAlgn val="ctr"/>
        <c:lblOffset val="100"/>
        <c:noMultiLvlLbl val="0"/>
      </c:catAx>
      <c:valAx>
        <c:axId val="104593664"/>
        <c:scaling>
          <c:orientation val="minMax"/>
        </c:scaling>
        <c:delete val="0"/>
        <c:axPos val="l"/>
        <c:majorGridlines>
          <c:spPr>
            <a:ln>
              <a:noFill/>
            </a:ln>
          </c:spPr>
        </c:majorGridlines>
        <c:numFmt formatCode="#,##0" sourceLinked="0"/>
        <c:majorTickMark val="out"/>
        <c:minorTickMark val="none"/>
        <c:tickLblPos val="nextTo"/>
        <c:spPr>
          <a:ln w="6350">
            <a:solidFill>
              <a:srgbClr val="B3B3B3"/>
            </a:solidFill>
          </a:ln>
        </c:spPr>
        <c:txPr>
          <a:bodyPr/>
          <a:lstStyle/>
          <a:p>
            <a:pPr>
              <a:defRPr sz="1000"/>
            </a:pPr>
            <a:endParaRPr lang="de-DE"/>
          </a:p>
        </c:txPr>
        <c:crossAx val="104592128"/>
        <c:crosses val="autoZero"/>
        <c:crossBetween val="between"/>
      </c:valAx>
    </c:plotArea>
    <c:legend>
      <c:legendPos val="r"/>
      <c:layout>
        <c:manualLayout>
          <c:xMode val="edge"/>
          <c:yMode val="edge"/>
          <c:x val="0.68134532119930191"/>
          <c:y val="2.2455537343918662E-2"/>
          <c:w val="0.29008089290099931"/>
          <c:h val="9.6889344425251045E-2"/>
        </c:manualLayout>
      </c:layout>
      <c:overlay val="0"/>
    </c:legend>
    <c:plotVisOnly val="0"/>
    <c:dispBlanksAs val="span"/>
    <c:showDLblsOverMax val="0"/>
  </c:chart>
  <c:spPr>
    <a:noFill/>
    <a:ln>
      <a:noFill/>
    </a:ln>
  </c:spPr>
  <c:txPr>
    <a:bodyPr/>
    <a:lstStyle/>
    <a:p>
      <a:pPr>
        <a:defRPr>
          <a:latin typeface="Trebuchet MS" panose="020B0603020202020204" pitchFamily="34" charset="0"/>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[0]!Kartentitel_Veränderung</c:f>
          <c:strCache>
            <c:ptCount val="1"/>
            <c:pt idx="0">
              <c:v>Veränderung in % zum Vorjahr</c:v>
            </c:pt>
          </c:strCache>
        </c:strRef>
      </c:tx>
      <c:layout>
        <c:manualLayout>
          <c:xMode val="edge"/>
          <c:yMode val="edge"/>
          <c:x val="9.7613560777810096E-2"/>
          <c:y val="2.7777910491643621E-2"/>
        </c:manualLayout>
      </c:layout>
      <c:overlay val="0"/>
      <c:txPr>
        <a:bodyPr/>
        <a:lstStyle/>
        <a:p>
          <a:pPr>
            <a:defRPr sz="1200"/>
          </a:pPr>
          <a:endParaRPr lang="de-DE"/>
        </a:p>
      </c:txPr>
    </c:title>
    <c:autoTitleDeleted val="0"/>
    <c:plotArea>
      <c:layout>
        <c:manualLayout>
          <c:layoutTarget val="inner"/>
          <c:xMode val="edge"/>
          <c:yMode val="edge"/>
          <c:x val="9.7458661417322831E-2"/>
          <c:y val="0.13462729058181228"/>
          <c:w val="0.89871325459317586"/>
          <c:h val="0.68072281751612651"/>
        </c:manualLayout>
      </c:layout>
      <c:barChart>
        <c:barDir val="col"/>
        <c:grouping val="clustered"/>
        <c:varyColors val="0"/>
        <c:ser>
          <c:idx val="0"/>
          <c:order val="0"/>
          <c:tx>
            <c:strRef>
              <c:f>Dashboard!$K$2</c:f>
              <c:strCache>
                <c:ptCount val="1"/>
                <c:pt idx="0">
                  <c:v>Eingang</c:v>
                </c:pt>
              </c:strCache>
            </c:strRef>
          </c:tx>
          <c:spPr>
            <a:solidFill>
              <a:srgbClr val="E20613"/>
            </a:solidFill>
            <a:ln>
              <a:noFill/>
            </a:ln>
          </c:spPr>
          <c:invertIfNegative val="0"/>
          <c:cat>
            <c:numRef>
              <c:f>[0]!Diagramm_Veraend_Jahreszahlen</c:f>
              <c:numCache>
                <c:formatCode>General</c:formatCode>
                <c:ptCount val="30"/>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2025</c:v>
                </c:pt>
              </c:numCache>
            </c:numRef>
          </c:cat>
          <c:val>
            <c:numRef>
              <c:f>[0]!Diagramm_Veraend_Exporte</c:f>
              <c:numCache>
                <c:formatCode>0.0</c:formatCode>
                <c:ptCount val="30"/>
                <c:pt idx="0">
                  <c:v>-0.611730838431086</c:v>
                </c:pt>
                <c:pt idx="1">
                  <c:v>-1.5689114168476976</c:v>
                </c:pt>
                <c:pt idx="2">
                  <c:v>-1.0789602746444302</c:v>
                </c:pt>
                <c:pt idx="3">
                  <c:v>4.8958849776896329</c:v>
                </c:pt>
                <c:pt idx="4">
                  <c:v>4.8682500295403486</c:v>
                </c:pt>
                <c:pt idx="5">
                  <c:v>4.6760563380281752</c:v>
                </c:pt>
                <c:pt idx="6">
                  <c:v>4.9730893433799821</c:v>
                </c:pt>
                <c:pt idx="7">
                  <c:v>3.0660377358490507</c:v>
                </c:pt>
                <c:pt idx="8">
                  <c:v>1.6117799223957832</c:v>
                </c:pt>
                <c:pt idx="9">
                  <c:v>3.6913737393518034</c:v>
                </c:pt>
                <c:pt idx="10">
                  <c:v>2.1907459867799872</c:v>
                </c:pt>
                <c:pt idx="11">
                  <c:v>1.6725189428941007</c:v>
                </c:pt>
                <c:pt idx="12">
                  <c:v>10.033627192583836</c:v>
                </c:pt>
                <c:pt idx="13">
                  <c:v>-3.1386801024200821</c:v>
                </c:pt>
                <c:pt idx="14">
                  <c:v>1.2620448537562936</c:v>
                </c:pt>
                <c:pt idx="15">
                  <c:v>2.290526315789478</c:v>
                </c:pt>
                <c:pt idx="16">
                  <c:v>2.971927224829173</c:v>
                </c:pt>
                <c:pt idx="17">
                  <c:v>3.4457946913975093</c:v>
                </c:pt>
                <c:pt idx="18">
                  <c:v>3.3387433341061836</c:v>
                </c:pt>
                <c:pt idx="19">
                  <c:v>5.7437738389050992</c:v>
                </c:pt>
                <c:pt idx="20">
                  <c:v>5.8561425843411854</c:v>
                </c:pt>
                <c:pt idx="21">
                  <c:v>4.7103627981559413</c:v>
                </c:pt>
                <c:pt idx="22">
                  <c:v>7.6314446145992889</c:v>
                </c:pt>
                <c:pt idx="23">
                  <c:v>4.0668721840170718</c:v>
                </c:pt>
                <c:pt idx="24">
                  <c:v>-41.369488435684175</c:v>
                </c:pt>
                <c:pt idx="25">
                  <c:v>-31.237854644383987</c:v>
                </c:pt>
                <c:pt idx="26">
                  <c:v>129.02359756959163</c:v>
                </c:pt>
                <c:pt idx="27">
                  <c:v>20.742843040473844</c:v>
                </c:pt>
                <c:pt idx="28">
                  <c:v>6.3055697496167653</c:v>
                </c:pt>
                <c:pt idx="29">
                  <c:v>6.8929052105364406</c:v>
                </c:pt>
              </c:numCache>
            </c:numRef>
          </c:val>
          <c:extLst>
            <c:ext xmlns:c16="http://schemas.microsoft.com/office/drawing/2014/chart" uri="{C3380CC4-5D6E-409C-BE32-E72D297353CC}">
              <c16:uniqueId val="{00000000-6FBC-4691-B7D2-6E25ED0E3F17}"/>
            </c:ext>
          </c:extLst>
        </c:ser>
        <c:ser>
          <c:idx val="1"/>
          <c:order val="1"/>
          <c:tx>
            <c:strRef>
              <c:f>Dashboard!$L$2</c:f>
              <c:strCache>
                <c:ptCount val="1"/>
                <c:pt idx="0">
                  <c:v>Ausgang</c:v>
                </c:pt>
              </c:strCache>
            </c:strRef>
          </c:tx>
          <c:spPr>
            <a:solidFill>
              <a:srgbClr val="666666"/>
            </a:solidFill>
            <a:ln>
              <a:noFill/>
            </a:ln>
          </c:spPr>
          <c:invertIfNegative val="0"/>
          <c:cat>
            <c:numRef>
              <c:f>[0]!Diagramm_Veraend_Jahreszahlen</c:f>
              <c:numCache>
                <c:formatCode>General</c:formatCode>
                <c:ptCount val="30"/>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pt idx="25">
                  <c:v>2021</c:v>
                </c:pt>
                <c:pt idx="26">
                  <c:v>2022</c:v>
                </c:pt>
                <c:pt idx="27">
                  <c:v>2023</c:v>
                </c:pt>
                <c:pt idx="28">
                  <c:v>2024</c:v>
                </c:pt>
                <c:pt idx="29">
                  <c:v>2025</c:v>
                </c:pt>
              </c:numCache>
            </c:numRef>
          </c:cat>
          <c:val>
            <c:numRef>
              <c:f>[0]!Diagramm_Veraend_Importe</c:f>
              <c:numCache>
                <c:formatCode>0.0</c:formatCode>
                <c:ptCount val="30"/>
                <c:pt idx="0">
                  <c:v>6.7341549295774712</c:v>
                </c:pt>
                <c:pt idx="1">
                  <c:v>4.9072164948453576</c:v>
                </c:pt>
                <c:pt idx="2">
                  <c:v>-4.1077044025157221</c:v>
                </c:pt>
                <c:pt idx="3">
                  <c:v>1.6191842590694847</c:v>
                </c:pt>
                <c:pt idx="4">
                  <c:v>6.1516740621218275</c:v>
                </c:pt>
                <c:pt idx="5">
                  <c:v>8.1132433973019147</c:v>
                </c:pt>
                <c:pt idx="6">
                  <c:v>-0.80843585237258253</c:v>
                </c:pt>
                <c:pt idx="7">
                  <c:v>6.5024805102763992</c:v>
                </c:pt>
                <c:pt idx="8">
                  <c:v>-2.7948760605556515</c:v>
                </c:pt>
                <c:pt idx="9">
                  <c:v>1.6943351018312569</c:v>
                </c:pt>
                <c:pt idx="10">
                  <c:v>2.2719623022551332</c:v>
                </c:pt>
                <c:pt idx="11">
                  <c:v>-0.32910975810432319</c:v>
                </c:pt>
                <c:pt idx="12">
                  <c:v>1.1721974574872007</c:v>
                </c:pt>
                <c:pt idx="13">
                  <c:v>5.2872062663185346</c:v>
                </c:pt>
                <c:pt idx="14">
                  <c:v>-0.5579665220086838</c:v>
                </c:pt>
                <c:pt idx="15">
                  <c:v>-3.7250623441396442</c:v>
                </c:pt>
                <c:pt idx="16">
                  <c:v>4.4843775295450854</c:v>
                </c:pt>
                <c:pt idx="17">
                  <c:v>0.88317322590641822</c:v>
                </c:pt>
                <c:pt idx="18">
                  <c:v>5.5444632160958349</c:v>
                </c:pt>
                <c:pt idx="19">
                  <c:v>0.93131548311990286</c:v>
                </c:pt>
                <c:pt idx="20">
                  <c:v>5.66608996539793</c:v>
                </c:pt>
                <c:pt idx="21">
                  <c:v>8.9780324737344728</c:v>
                </c:pt>
                <c:pt idx="22">
                  <c:v>7.5622887191686488</c:v>
                </c:pt>
                <c:pt idx="23">
                  <c:v>2.19997671982307</c:v>
                </c:pt>
                <c:pt idx="24">
                  <c:v>-65.398633257403191</c:v>
                </c:pt>
                <c:pt idx="25">
                  <c:v>72.778143515470703</c:v>
                </c:pt>
                <c:pt idx="26">
                  <c:v>94.799009335111464</c:v>
                </c:pt>
                <c:pt idx="27">
                  <c:v>18.16136919315403</c:v>
                </c:pt>
                <c:pt idx="28">
                  <c:v>9.7831484853501109</c:v>
                </c:pt>
                <c:pt idx="29">
                  <c:v>4.840168878166466</c:v>
                </c:pt>
              </c:numCache>
            </c:numRef>
          </c:val>
          <c:extLst>
            <c:ext xmlns:c16="http://schemas.microsoft.com/office/drawing/2014/chart" uri="{C3380CC4-5D6E-409C-BE32-E72D297353CC}">
              <c16:uniqueId val="{00000001-6FBC-4691-B7D2-6E25ED0E3F17}"/>
            </c:ext>
          </c:extLst>
        </c:ser>
        <c:dLbls>
          <c:showLegendKey val="0"/>
          <c:showVal val="0"/>
          <c:showCatName val="0"/>
          <c:showSerName val="0"/>
          <c:showPercent val="0"/>
          <c:showBubbleSize val="0"/>
        </c:dLbls>
        <c:gapWidth val="150"/>
        <c:axId val="106242816"/>
        <c:axId val="106244352"/>
      </c:barChart>
      <c:catAx>
        <c:axId val="106242816"/>
        <c:scaling>
          <c:orientation val="minMax"/>
        </c:scaling>
        <c:delete val="0"/>
        <c:axPos val="b"/>
        <c:numFmt formatCode="General" sourceLinked="1"/>
        <c:majorTickMark val="out"/>
        <c:minorTickMark val="none"/>
        <c:tickLblPos val="low"/>
        <c:spPr>
          <a:ln w="6350">
            <a:solidFill>
              <a:srgbClr val="B3B3B3"/>
            </a:solidFill>
          </a:ln>
        </c:spPr>
        <c:txPr>
          <a:bodyPr rot="-5400000" vert="horz"/>
          <a:lstStyle/>
          <a:p>
            <a:pPr>
              <a:defRPr sz="1000"/>
            </a:pPr>
            <a:endParaRPr lang="de-DE"/>
          </a:p>
        </c:txPr>
        <c:crossAx val="106244352"/>
        <c:crosses val="autoZero"/>
        <c:auto val="1"/>
        <c:lblAlgn val="ctr"/>
        <c:lblOffset val="100"/>
        <c:noMultiLvlLbl val="0"/>
      </c:catAx>
      <c:valAx>
        <c:axId val="106244352"/>
        <c:scaling>
          <c:orientation val="minMax"/>
        </c:scaling>
        <c:delete val="0"/>
        <c:axPos val="l"/>
        <c:majorGridlines>
          <c:spPr>
            <a:ln>
              <a:noFill/>
            </a:ln>
          </c:spPr>
        </c:majorGridlines>
        <c:numFmt formatCode="#,##0" sourceLinked="0"/>
        <c:majorTickMark val="out"/>
        <c:minorTickMark val="none"/>
        <c:tickLblPos val="nextTo"/>
        <c:spPr>
          <a:ln w="6350">
            <a:solidFill>
              <a:srgbClr val="B3B3B3"/>
            </a:solidFill>
          </a:ln>
        </c:spPr>
        <c:txPr>
          <a:bodyPr/>
          <a:lstStyle/>
          <a:p>
            <a:pPr>
              <a:defRPr sz="1000"/>
            </a:pPr>
            <a:endParaRPr lang="de-DE"/>
          </a:p>
        </c:txPr>
        <c:crossAx val="106242816"/>
        <c:crosses val="autoZero"/>
        <c:crossBetween val="between"/>
      </c:valAx>
    </c:plotArea>
    <c:legend>
      <c:legendPos val="l"/>
      <c:layout>
        <c:manualLayout>
          <c:xMode val="edge"/>
          <c:yMode val="edge"/>
          <c:x val="0.73149501571309594"/>
          <c:y val="1.44628304192431E-2"/>
          <c:w val="0.24213762364230759"/>
          <c:h val="0.11196133738825237"/>
        </c:manualLayout>
      </c:layout>
      <c:overlay val="1"/>
    </c:legend>
    <c:plotVisOnly val="1"/>
    <c:dispBlanksAs val="gap"/>
    <c:showDLblsOverMax val="0"/>
  </c:chart>
  <c:spPr>
    <a:noFill/>
    <a:ln>
      <a:noFill/>
    </a:ln>
  </c:spPr>
  <c:txPr>
    <a:bodyPr/>
    <a:lstStyle/>
    <a:p>
      <a:pPr>
        <a:defRPr>
          <a:latin typeface="Trebuchet MS" panose="020B0603020202020204" pitchFamily="34" charset="0"/>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[0]!Kartentitel_Eingangsentwicklung</c:f>
          <c:strCache>
            <c:ptCount val="1"/>
            <c:pt idx="0">
              <c:v>Eingangsentwicklung - Index</c:v>
            </c:pt>
          </c:strCache>
        </c:strRef>
      </c:tx>
      <c:layout>
        <c:manualLayout>
          <c:xMode val="edge"/>
          <c:yMode val="edge"/>
          <c:x val="7.954307081477828E-2"/>
          <c:y val="5.8428977756110043E-2"/>
        </c:manualLayout>
      </c:layout>
      <c:overlay val="0"/>
      <c:txPr>
        <a:bodyPr/>
        <a:lstStyle/>
        <a:p>
          <a:pPr>
            <a:defRPr sz="1200"/>
          </a:pPr>
          <a:endParaRPr lang="de-DE"/>
        </a:p>
      </c:txPr>
    </c:title>
    <c:autoTitleDeleted val="0"/>
    <c:plotArea>
      <c:layout>
        <c:manualLayout>
          <c:layoutTarget val="inner"/>
          <c:xMode val="edge"/>
          <c:yMode val="edge"/>
          <c:x val="9.7458661417322831E-2"/>
          <c:y val="0.18734893088621984"/>
          <c:w val="0.90042671768832638"/>
          <c:h val="0.66422170519997537"/>
        </c:manualLayout>
      </c:layout>
      <c:lineChart>
        <c:grouping val="standard"/>
        <c:varyColors val="0"/>
        <c:ser>
          <c:idx val="0"/>
          <c:order val="0"/>
          <c:tx>
            <c:strRef>
              <c:f>Absolut_Grafik_1_2!$A$8</c:f>
              <c:strCache>
                <c:ptCount val="1"/>
                <c:pt idx="0">
                  <c:v>Privatreisen</c:v>
                </c:pt>
              </c:strCache>
            </c:strRef>
          </c:tx>
          <c:spPr>
            <a:ln>
              <a:solidFill>
                <a:srgbClr val="E20613"/>
              </a:solidFill>
            </a:ln>
          </c:spPr>
          <c:marker>
            <c:symbol val="none"/>
          </c:marker>
          <c:cat>
            <c:numRef>
              <c:f>[0]!Diagramm_Index_Jahreszahlen_Export</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[0]!Diagramm_Index_Exporte_AHP</c:f>
              <c:numCache>
                <c:formatCode>General</c:formatCode>
                <c:ptCount val="31"/>
                <c:pt idx="0">
                  <c:v>37.489882183649605</c:v>
                </c:pt>
                <c:pt idx="1">
                  <c:v>37.260545013040741</c:v>
                </c:pt>
                <c:pt idx="2">
                  <c:v>36.675960068351472</c:v>
                </c:pt>
                <c:pt idx="3">
                  <c:v>36.280241028869504</c:v>
                </c:pt>
                <c:pt idx="4">
                  <c:v>38.056479899271515</c:v>
                </c:pt>
                <c:pt idx="5">
                  <c:v>39.909164493209822</c:v>
                </c:pt>
                <c:pt idx="6">
                  <c:v>41.775339508948647</c:v>
                </c:pt>
                <c:pt idx="7">
                  <c:v>43.852864466228979</c:v>
                </c:pt>
                <c:pt idx="8">
                  <c:v>45.197409839014298</c:v>
                </c:pt>
                <c:pt idx="9">
                  <c:v>45.925892616242471</c:v>
                </c:pt>
                <c:pt idx="10">
                  <c:v>47.621188955841355</c:v>
                </c:pt>
                <c:pt idx="11">
                  <c:v>48.66444824174836</c:v>
                </c:pt>
                <c:pt idx="12">
                  <c:v>49.478370357046501</c:v>
                </c:pt>
                <c:pt idx="13">
                  <c:v>54.442845579638458</c:v>
                </c:pt>
                <c:pt idx="14">
                  <c:v>52.734058818239049</c:v>
                </c:pt>
                <c:pt idx="15">
                  <c:v>53.399586293731446</c:v>
                </c:pt>
                <c:pt idx="16">
                  <c:v>54.622717870312073</c:v>
                </c:pt>
                <c:pt idx="17">
                  <c:v>56.246065293641514</c:v>
                </c:pt>
                <c:pt idx="18">
                  <c:v>58.184189225649789</c:v>
                </c:pt>
                <c:pt idx="19">
                  <c:v>60.126809964924902</c:v>
                </c:pt>
                <c:pt idx="20">
                  <c:v>63.580357945858445</c:v>
                </c:pt>
                <c:pt idx="21">
                  <c:v>67.30371436280241</c:v>
                </c:pt>
                <c:pt idx="22">
                  <c:v>70.473963485924997</c:v>
                </c:pt>
                <c:pt idx="23">
                  <c:v>75.852144977066288</c:v>
                </c:pt>
                <c:pt idx="24">
                  <c:v>78.936954762118887</c:v>
                </c:pt>
                <c:pt idx="25">
                  <c:v>46.281140390322875</c:v>
                </c:pt>
                <c:pt idx="26">
                  <c:v>31.823905027430527</c:v>
                </c:pt>
                <c:pt idx="27">
                  <c:v>72.88425218095152</c:v>
                </c:pt>
                <c:pt idx="28">
                  <c:v>88.002518212069432</c:v>
                </c:pt>
                <c:pt idx="29">
                  <c:v>93.551578379350659</c:v>
                </c:pt>
                <c:pt idx="30">
                  <c:v>100</c:v>
                </c:pt>
              </c:numCache>
            </c:numRef>
          </c:val>
          <c:smooth val="0"/>
          <c:extLst>
            <c:ext xmlns:c16="http://schemas.microsoft.com/office/drawing/2014/chart" uri="{C3380CC4-5D6E-409C-BE32-E72D297353CC}">
              <c16:uniqueId val="{00000000-68F5-4B85-B8FB-D76D1D809ECF}"/>
            </c:ext>
          </c:extLst>
        </c:ser>
        <c:ser>
          <c:idx val="1"/>
          <c:order val="1"/>
          <c:tx>
            <c:strRef>
              <c:f>Absolut_Grafik_1_2!$A$9</c:f>
              <c:strCache>
                <c:ptCount val="1"/>
                <c:pt idx="0">
                  <c:v>Dienstleistungen ohne Privatreisen</c:v>
                </c:pt>
              </c:strCache>
            </c:strRef>
          </c:tx>
          <c:spPr>
            <a:ln>
              <a:solidFill>
                <a:srgbClr val="666666"/>
              </a:solidFill>
            </a:ln>
          </c:spPr>
          <c:marker>
            <c:symbol val="none"/>
          </c:marker>
          <c:cat>
            <c:numRef>
              <c:f>[0]!Diagramm_Index_Jahreszahlen_Export</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[0]!Diagramm_Index_Exporte_Welt_ohne_AHP</c:f>
              <c:numCache>
                <c:formatCode>General</c:formatCode>
                <c:ptCount val="31"/>
                <c:pt idx="0">
                  <c:v>13.267326732673268</c:v>
                </c:pt>
                <c:pt idx="1">
                  <c:v>14.809353275753107</c:v>
                </c:pt>
                <c:pt idx="2">
                  <c:v>15.56351379818833</c:v>
                </c:pt>
                <c:pt idx="3">
                  <c:v>17.77122393090373</c:v>
                </c:pt>
                <c:pt idx="4">
                  <c:v>18.644758092830561</c:v>
                </c:pt>
                <c:pt idx="5">
                  <c:v>22.105189242328489</c:v>
                </c:pt>
                <c:pt idx="6">
                  <c:v>23.888771855908995</c:v>
                </c:pt>
                <c:pt idx="7">
                  <c:v>24.949090653746225</c:v>
                </c:pt>
                <c:pt idx="8">
                  <c:v>26.074011656484796</c:v>
                </c:pt>
                <c:pt idx="9">
                  <c:v>28.16796573274349</c:v>
                </c:pt>
                <c:pt idx="10">
                  <c:v>31.799733164805843</c:v>
                </c:pt>
                <c:pt idx="11">
                  <c:v>35.861245699037994</c:v>
                </c:pt>
                <c:pt idx="12">
                  <c:v>40.383400042131875</c:v>
                </c:pt>
                <c:pt idx="13">
                  <c:v>43.353697071834844</c:v>
                </c:pt>
                <c:pt idx="14">
                  <c:v>38.056316269924864</c:v>
                </c:pt>
                <c:pt idx="15">
                  <c:v>39.026753739203706</c:v>
                </c:pt>
                <c:pt idx="16">
                  <c:v>42.78351239379257</c:v>
                </c:pt>
                <c:pt idx="17">
                  <c:v>45.706059967698899</c:v>
                </c:pt>
                <c:pt idx="18">
                  <c:v>50.89108910891089</c:v>
                </c:pt>
                <c:pt idx="19">
                  <c:v>53.810827891299773</c:v>
                </c:pt>
                <c:pt idx="20">
                  <c:v>54.87957306368935</c:v>
                </c:pt>
                <c:pt idx="21">
                  <c:v>57.000210659363802</c:v>
                </c:pt>
                <c:pt idx="22">
                  <c:v>61.418439716312058</c:v>
                </c:pt>
                <c:pt idx="23">
                  <c:v>66.527631486552906</c:v>
                </c:pt>
                <c:pt idx="24">
                  <c:v>71.493574889403831</c:v>
                </c:pt>
                <c:pt idx="25">
                  <c:v>65.523488519064671</c:v>
                </c:pt>
                <c:pt idx="26">
                  <c:v>74.557966434941363</c:v>
                </c:pt>
                <c:pt idx="27">
                  <c:v>87.52053928797136</c:v>
                </c:pt>
                <c:pt idx="28">
                  <c:v>89.541464784776352</c:v>
                </c:pt>
                <c:pt idx="29">
                  <c:v>96.178639140509787</c:v>
                </c:pt>
                <c:pt idx="30">
                  <c:v>100</c:v>
                </c:pt>
              </c:numCache>
            </c:numRef>
          </c:val>
          <c:smooth val="0"/>
          <c:extLst>
            <c:ext xmlns:c16="http://schemas.microsoft.com/office/drawing/2014/chart" uri="{C3380CC4-5D6E-409C-BE32-E72D297353CC}">
              <c16:uniqueId val="{00000001-68F5-4B85-B8FB-D76D1D809ECF}"/>
            </c:ext>
          </c:extLst>
        </c:ser>
        <c:ser>
          <c:idx val="2"/>
          <c:order val="2"/>
          <c:spPr>
            <a:ln>
              <a:noFill/>
            </a:ln>
          </c:spPr>
          <c:marker>
            <c:symbol val="none"/>
          </c:marker>
          <c:cat>
            <c:numRef>
              <c:f>[0]!Diagramm_Index_Jahreszahlen_Export</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[0]!Diagramm_Index_Importe_AHP</c:f>
              <c:numCache>
                <c:formatCode>General</c:formatCode>
                <c:ptCount val="31"/>
                <c:pt idx="0">
                  <c:v>32.676542499640441</c:v>
                </c:pt>
                <c:pt idx="1">
                  <c:v>34.877031497195453</c:v>
                </c:pt>
                <c:pt idx="2">
                  <c:v>36.58852293973824</c:v>
                </c:pt>
                <c:pt idx="3">
                  <c:v>35.085574572127136</c:v>
                </c:pt>
                <c:pt idx="4">
                  <c:v>35.653674672803106</c:v>
                </c:pt>
                <c:pt idx="5">
                  <c:v>37.846972529843228</c:v>
                </c:pt>
                <c:pt idx="6">
                  <c:v>40.917589529699413</c:v>
                </c:pt>
                <c:pt idx="7">
                  <c:v>40.586797066014668</c:v>
                </c:pt>
                <c:pt idx="8">
                  <c:v>43.225945634977705</c:v>
                </c:pt>
                <c:pt idx="9">
                  <c:v>42.017834028476919</c:v>
                </c:pt>
                <c:pt idx="10">
                  <c:v>42.729756939450596</c:v>
                </c:pt>
                <c:pt idx="11">
                  <c:v>43.700560908960163</c:v>
                </c:pt>
                <c:pt idx="12">
                  <c:v>43.556738098662443</c:v>
                </c:pt>
                <c:pt idx="13">
                  <c:v>44.067309075219327</c:v>
                </c:pt>
                <c:pt idx="14">
                  <c:v>46.397238602042286</c:v>
                </c:pt>
                <c:pt idx="15">
                  <c:v>46.138357543506395</c:v>
                </c:pt>
                <c:pt idx="16">
                  <c:v>44.419674960448731</c:v>
                </c:pt>
                <c:pt idx="17">
                  <c:v>46.411620883072061</c:v>
                </c:pt>
                <c:pt idx="18">
                  <c:v>46.821515892420543</c:v>
                </c:pt>
                <c:pt idx="19">
                  <c:v>49.417517618294262</c:v>
                </c:pt>
                <c:pt idx="20">
                  <c:v>49.877750611246945</c:v>
                </c:pt>
                <c:pt idx="21">
                  <c:v>52.703868833597014</c:v>
                </c:pt>
                <c:pt idx="22">
                  <c:v>57.43563929239177</c:v>
                </c:pt>
                <c:pt idx="23">
                  <c:v>61.77908816338271</c:v>
                </c:pt>
                <c:pt idx="24">
                  <c:v>63.1382137206961</c:v>
                </c:pt>
                <c:pt idx="25">
                  <c:v>21.846684884222636</c:v>
                </c:pt>
                <c:pt idx="26">
                  <c:v>37.746296562634832</c:v>
                </c:pt>
                <c:pt idx="27">
                  <c:v>73.529411764705884</c:v>
                </c:pt>
                <c:pt idx="28">
                  <c:v>86.883359700848544</c:v>
                </c:pt>
                <c:pt idx="29">
                  <c:v>95.383287789443401</c:v>
                </c:pt>
                <c:pt idx="30">
                  <c:v>100</c:v>
                </c:pt>
              </c:numCache>
            </c:numRef>
          </c:val>
          <c:smooth val="0"/>
          <c:extLst>
            <c:ext xmlns:c16="http://schemas.microsoft.com/office/drawing/2014/chart" uri="{C3380CC4-5D6E-409C-BE32-E72D297353CC}">
              <c16:uniqueId val="{00000002-68F5-4B85-B8FB-D76D1D809ECF}"/>
            </c:ext>
          </c:extLst>
        </c:ser>
        <c:ser>
          <c:idx val="3"/>
          <c:order val="3"/>
          <c:spPr>
            <a:ln>
              <a:noFill/>
            </a:ln>
          </c:spPr>
          <c:marker>
            <c:symbol val="none"/>
          </c:marker>
          <c:cat>
            <c:numRef>
              <c:f>[0]!Diagramm_Index_Jahreszahlen_Export</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[0]!Diagramm_Index_Importe_Welt_ohne_AHP</c:f>
              <c:numCache>
                <c:formatCode>General</c:formatCode>
                <c:ptCount val="31"/>
                <c:pt idx="0">
                  <c:v>13.683097914864994</c:v>
                </c:pt>
                <c:pt idx="1">
                  <c:v>15.026973602932092</c:v>
                </c:pt>
                <c:pt idx="2">
                  <c:v>15.582918090845446</c:v>
                </c:pt>
                <c:pt idx="3">
                  <c:v>16.510864939807</c:v>
                </c:pt>
                <c:pt idx="4">
                  <c:v>16.491647105656906</c:v>
                </c:pt>
                <c:pt idx="5">
                  <c:v>18.482065642630648</c:v>
                </c:pt>
                <c:pt idx="6">
                  <c:v>20.417576082032699</c:v>
                </c:pt>
                <c:pt idx="7">
                  <c:v>21.451221018819748</c:v>
                </c:pt>
                <c:pt idx="8">
                  <c:v>22.320141662891736</c:v>
                </c:pt>
                <c:pt idx="9">
                  <c:v>24.285851555958217</c:v>
                </c:pt>
                <c:pt idx="10">
                  <c:v>27.209707751650676</c:v>
                </c:pt>
                <c:pt idx="11">
                  <c:v>30.063556122939229</c:v>
                </c:pt>
                <c:pt idx="12">
                  <c:v>32.689535889305276</c:v>
                </c:pt>
                <c:pt idx="13">
                  <c:v>33.822015401721366</c:v>
                </c:pt>
                <c:pt idx="14">
                  <c:v>29.537811088690301</c:v>
                </c:pt>
                <c:pt idx="15">
                  <c:v>31.43900396711005</c:v>
                </c:pt>
                <c:pt idx="16">
                  <c:v>35.378659967878761</c:v>
                </c:pt>
                <c:pt idx="17">
                  <c:v>38.336833724553529</c:v>
                </c:pt>
                <c:pt idx="18">
                  <c:v>44.702054935551622</c:v>
                </c:pt>
                <c:pt idx="19">
                  <c:v>47.934769180084835</c:v>
                </c:pt>
                <c:pt idx="20">
                  <c:v>49.829098546308117</c:v>
                </c:pt>
                <c:pt idx="21">
                  <c:v>51.960905434528961</c:v>
                </c:pt>
                <c:pt idx="22">
                  <c:v>57.024804733078014</c:v>
                </c:pt>
                <c:pt idx="23">
                  <c:v>63.046850334253044</c:v>
                </c:pt>
                <c:pt idx="24">
                  <c:v>69.020851350052851</c:v>
                </c:pt>
                <c:pt idx="25">
                  <c:v>63.119603563535534</c:v>
                </c:pt>
                <c:pt idx="26">
                  <c:v>71.052450960205363</c:v>
                </c:pt>
                <c:pt idx="27">
                  <c:v>86.200222377795171</c:v>
                </c:pt>
                <c:pt idx="28">
                  <c:v>90.55306181279083</c:v>
                </c:pt>
                <c:pt idx="29">
                  <c:v>96.617661189583941</c:v>
                </c:pt>
                <c:pt idx="30">
                  <c:v>100</c:v>
                </c:pt>
              </c:numCache>
            </c:numRef>
          </c:val>
          <c:smooth val="0"/>
          <c:extLst>
            <c:ext xmlns:c16="http://schemas.microsoft.com/office/drawing/2014/chart" uri="{C3380CC4-5D6E-409C-BE32-E72D297353CC}">
              <c16:uniqueId val="{00000003-68F5-4B85-B8FB-D76D1D809ECF}"/>
            </c:ext>
          </c:extLst>
        </c:ser>
        <c:dLbls>
          <c:showLegendKey val="0"/>
          <c:showVal val="0"/>
          <c:showCatName val="0"/>
          <c:showSerName val="0"/>
          <c:showPercent val="0"/>
          <c:showBubbleSize val="0"/>
        </c:dLbls>
        <c:smooth val="0"/>
        <c:axId val="106291200"/>
        <c:axId val="106292736"/>
      </c:lineChart>
      <c:catAx>
        <c:axId val="106291200"/>
        <c:scaling>
          <c:orientation val="minMax"/>
        </c:scaling>
        <c:delete val="0"/>
        <c:axPos val="b"/>
        <c:numFmt formatCode="General" sourceLinked="1"/>
        <c:majorTickMark val="out"/>
        <c:minorTickMark val="none"/>
        <c:tickLblPos val="nextTo"/>
        <c:txPr>
          <a:bodyPr rot="-5400000" vert="horz"/>
          <a:lstStyle/>
          <a:p>
            <a:pPr>
              <a:defRPr/>
            </a:pPr>
            <a:endParaRPr lang="de-DE"/>
          </a:p>
        </c:txPr>
        <c:crossAx val="106292736"/>
        <c:crossesAt val="-200"/>
        <c:auto val="1"/>
        <c:lblAlgn val="ctr"/>
        <c:lblOffset val="100"/>
        <c:noMultiLvlLbl val="0"/>
      </c:catAx>
      <c:valAx>
        <c:axId val="106292736"/>
        <c:scaling>
          <c:orientation val="minMax"/>
        </c:scaling>
        <c:delete val="0"/>
        <c:axPos val="l"/>
        <c:majorGridlines>
          <c:spPr>
            <a:ln>
              <a:noFill/>
            </a:ln>
          </c:spPr>
        </c:majorGridlines>
        <c:numFmt formatCode="#,##0" sourceLinked="0"/>
        <c:majorTickMark val="out"/>
        <c:minorTickMark val="none"/>
        <c:tickLblPos val="nextTo"/>
        <c:txPr>
          <a:bodyPr/>
          <a:lstStyle/>
          <a:p>
            <a:pPr>
              <a:defRPr sz="1000"/>
            </a:pPr>
            <a:endParaRPr lang="de-DE"/>
          </a:p>
        </c:txPr>
        <c:crossAx val="106291200"/>
        <c:crosses val="autoZero"/>
        <c:crossBetween val="between"/>
      </c:valAx>
    </c:plotArea>
    <c:legend>
      <c:legendPos val="l"/>
      <c:legendEntry>
        <c:idx val="2"/>
        <c:delete val="1"/>
      </c:legendEntry>
      <c:legendEntry>
        <c:idx val="3"/>
        <c:delete val="1"/>
      </c:legendEntry>
      <c:layout>
        <c:manualLayout>
          <c:xMode val="edge"/>
          <c:yMode val="edge"/>
          <c:x val="0.51825816293511251"/>
          <c:y val="1.4049503002979448E-3"/>
          <c:w val="0.47778407927313105"/>
          <c:h val="0.17005846682957734"/>
        </c:manualLayout>
      </c:layout>
      <c:overlay val="1"/>
      <c:spPr>
        <a:solidFill>
          <a:srgbClr val="FFFFFF">
            <a:alpha val="90000"/>
          </a:srgbClr>
        </a:solidFill>
      </c:spPr>
    </c:legend>
    <c:plotVisOnly val="1"/>
    <c:dispBlanksAs val="gap"/>
    <c:showDLblsOverMax val="0"/>
  </c:chart>
  <c:spPr>
    <a:noFill/>
    <a:ln>
      <a:noFill/>
    </a:ln>
  </c:spPr>
  <c:txPr>
    <a:bodyPr/>
    <a:lstStyle/>
    <a:p>
      <a:pPr>
        <a:defRPr>
          <a:latin typeface="Trebuchet MS" panose="020B0603020202020204" pitchFamily="34" charset="0"/>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[0]!Kartentitel_Ausgangsentwicklung</c:f>
          <c:strCache>
            <c:ptCount val="1"/>
            <c:pt idx="0">
              <c:v>Ausgangsentwicklung - Index</c:v>
            </c:pt>
          </c:strCache>
        </c:strRef>
      </c:tx>
      <c:layout>
        <c:manualLayout>
          <c:xMode val="edge"/>
          <c:yMode val="edge"/>
          <c:x val="6.2603535166351712E-2"/>
          <c:y val="5.0766161001210362E-2"/>
        </c:manualLayout>
      </c:layout>
      <c:overlay val="0"/>
      <c:txPr>
        <a:bodyPr/>
        <a:lstStyle/>
        <a:p>
          <a:pPr>
            <a:defRPr sz="1200"/>
          </a:pPr>
          <a:endParaRPr lang="de-DE"/>
        </a:p>
      </c:txPr>
    </c:title>
    <c:autoTitleDeleted val="0"/>
    <c:plotArea>
      <c:layout>
        <c:manualLayout>
          <c:layoutTarget val="inner"/>
          <c:xMode val="edge"/>
          <c:yMode val="edge"/>
          <c:x val="9.7458661417322831E-2"/>
          <c:y val="0.182929537081396"/>
          <c:w val="0.89871325459317586"/>
          <c:h val="0.66864109900479918"/>
        </c:manualLayout>
      </c:layout>
      <c:lineChart>
        <c:grouping val="standard"/>
        <c:varyColors val="0"/>
        <c:ser>
          <c:idx val="0"/>
          <c:order val="0"/>
          <c:tx>
            <c:strRef>
              <c:f>Absolut_Grafik_1_2!$A$19</c:f>
              <c:strCache>
                <c:ptCount val="1"/>
                <c:pt idx="0">
                  <c:v>Privatreisen</c:v>
                </c:pt>
              </c:strCache>
            </c:strRef>
          </c:tx>
          <c:spPr>
            <a:ln>
              <a:solidFill>
                <a:srgbClr val="E20613"/>
              </a:solidFill>
            </a:ln>
          </c:spPr>
          <c:marker>
            <c:symbol val="none"/>
          </c:marker>
          <c:cat>
            <c:numRef>
              <c:f>[0]!Diagramm_Index_Jahreszahlen_Import</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[0]!Diagramm_Index_Importe_AHP</c:f>
              <c:numCache>
                <c:formatCode>General</c:formatCode>
                <c:ptCount val="31"/>
                <c:pt idx="0">
                  <c:v>32.676542499640441</c:v>
                </c:pt>
                <c:pt idx="1">
                  <c:v>34.877031497195453</c:v>
                </c:pt>
                <c:pt idx="2">
                  <c:v>36.58852293973824</c:v>
                </c:pt>
                <c:pt idx="3">
                  <c:v>35.085574572127136</c:v>
                </c:pt>
                <c:pt idx="4">
                  <c:v>35.653674672803106</c:v>
                </c:pt>
                <c:pt idx="5">
                  <c:v>37.846972529843228</c:v>
                </c:pt>
                <c:pt idx="6">
                  <c:v>40.917589529699413</c:v>
                </c:pt>
                <c:pt idx="7">
                  <c:v>40.586797066014668</c:v>
                </c:pt>
                <c:pt idx="8">
                  <c:v>43.225945634977705</c:v>
                </c:pt>
                <c:pt idx="9">
                  <c:v>42.017834028476919</c:v>
                </c:pt>
                <c:pt idx="10">
                  <c:v>42.729756939450596</c:v>
                </c:pt>
                <c:pt idx="11">
                  <c:v>43.700560908960163</c:v>
                </c:pt>
                <c:pt idx="12">
                  <c:v>43.556738098662443</c:v>
                </c:pt>
                <c:pt idx="13">
                  <c:v>44.067309075219327</c:v>
                </c:pt>
                <c:pt idx="14">
                  <c:v>46.397238602042286</c:v>
                </c:pt>
                <c:pt idx="15">
                  <c:v>46.138357543506395</c:v>
                </c:pt>
                <c:pt idx="16">
                  <c:v>44.419674960448731</c:v>
                </c:pt>
                <c:pt idx="17">
                  <c:v>46.411620883072061</c:v>
                </c:pt>
                <c:pt idx="18">
                  <c:v>46.821515892420543</c:v>
                </c:pt>
                <c:pt idx="19">
                  <c:v>49.417517618294262</c:v>
                </c:pt>
                <c:pt idx="20">
                  <c:v>49.877750611246945</c:v>
                </c:pt>
                <c:pt idx="21">
                  <c:v>52.703868833597014</c:v>
                </c:pt>
                <c:pt idx="22">
                  <c:v>57.43563929239177</c:v>
                </c:pt>
                <c:pt idx="23">
                  <c:v>61.77908816338271</c:v>
                </c:pt>
                <c:pt idx="24">
                  <c:v>63.1382137206961</c:v>
                </c:pt>
                <c:pt idx="25">
                  <c:v>21.846684884222636</c:v>
                </c:pt>
                <c:pt idx="26">
                  <c:v>37.746296562634832</c:v>
                </c:pt>
                <c:pt idx="27">
                  <c:v>73.529411764705884</c:v>
                </c:pt>
                <c:pt idx="28">
                  <c:v>86.883359700848544</c:v>
                </c:pt>
                <c:pt idx="29">
                  <c:v>95.383287789443401</c:v>
                </c:pt>
                <c:pt idx="30">
                  <c:v>100</c:v>
                </c:pt>
              </c:numCache>
            </c:numRef>
          </c:val>
          <c:smooth val="0"/>
          <c:extLst>
            <c:ext xmlns:c16="http://schemas.microsoft.com/office/drawing/2014/chart" uri="{C3380CC4-5D6E-409C-BE32-E72D297353CC}">
              <c16:uniqueId val="{00000000-AF19-40D8-A0F5-C2CCBC68163B}"/>
            </c:ext>
          </c:extLst>
        </c:ser>
        <c:ser>
          <c:idx val="1"/>
          <c:order val="1"/>
          <c:tx>
            <c:strRef>
              <c:f>Absolut_Grafik_1_2!$A$20</c:f>
              <c:strCache>
                <c:ptCount val="1"/>
                <c:pt idx="0">
                  <c:v>Dienstleistungen ohne Privatreisen</c:v>
                </c:pt>
              </c:strCache>
            </c:strRef>
          </c:tx>
          <c:spPr>
            <a:ln>
              <a:solidFill>
                <a:srgbClr val="666666"/>
              </a:solidFill>
            </a:ln>
          </c:spPr>
          <c:marker>
            <c:symbol val="none"/>
          </c:marker>
          <c:cat>
            <c:numRef>
              <c:f>[0]!Diagramm_Index_Jahreszahlen_Import</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[0]!Diagramm_Index_Importe_Welt_ohne_AHP</c:f>
              <c:numCache>
                <c:formatCode>General</c:formatCode>
                <c:ptCount val="31"/>
                <c:pt idx="0">
                  <c:v>13.683097914864994</c:v>
                </c:pt>
                <c:pt idx="1">
                  <c:v>15.026973602932092</c:v>
                </c:pt>
                <c:pt idx="2">
                  <c:v>15.582918090845446</c:v>
                </c:pt>
                <c:pt idx="3">
                  <c:v>16.510864939807</c:v>
                </c:pt>
                <c:pt idx="4">
                  <c:v>16.491647105656906</c:v>
                </c:pt>
                <c:pt idx="5">
                  <c:v>18.482065642630648</c:v>
                </c:pt>
                <c:pt idx="6">
                  <c:v>20.417576082032699</c:v>
                </c:pt>
                <c:pt idx="7">
                  <c:v>21.451221018819748</c:v>
                </c:pt>
                <c:pt idx="8">
                  <c:v>22.320141662891736</c:v>
                </c:pt>
                <c:pt idx="9">
                  <c:v>24.285851555958217</c:v>
                </c:pt>
                <c:pt idx="10">
                  <c:v>27.209707751650676</c:v>
                </c:pt>
                <c:pt idx="11">
                  <c:v>30.063556122939229</c:v>
                </c:pt>
                <c:pt idx="12">
                  <c:v>32.689535889305276</c:v>
                </c:pt>
                <c:pt idx="13">
                  <c:v>33.822015401721366</c:v>
                </c:pt>
                <c:pt idx="14">
                  <c:v>29.537811088690301</c:v>
                </c:pt>
                <c:pt idx="15">
                  <c:v>31.43900396711005</c:v>
                </c:pt>
                <c:pt idx="16">
                  <c:v>35.378659967878761</c:v>
                </c:pt>
                <c:pt idx="17">
                  <c:v>38.336833724553529</c:v>
                </c:pt>
                <c:pt idx="18">
                  <c:v>44.702054935551622</c:v>
                </c:pt>
                <c:pt idx="19">
                  <c:v>47.934769180084835</c:v>
                </c:pt>
                <c:pt idx="20">
                  <c:v>49.829098546308117</c:v>
                </c:pt>
                <c:pt idx="21">
                  <c:v>51.960905434528961</c:v>
                </c:pt>
                <c:pt idx="22">
                  <c:v>57.024804733078014</c:v>
                </c:pt>
                <c:pt idx="23">
                  <c:v>63.046850334253044</c:v>
                </c:pt>
                <c:pt idx="24">
                  <c:v>69.020851350052851</c:v>
                </c:pt>
                <c:pt idx="25">
                  <c:v>63.119603563535534</c:v>
                </c:pt>
                <c:pt idx="26">
                  <c:v>71.052450960205363</c:v>
                </c:pt>
                <c:pt idx="27">
                  <c:v>86.200222377795171</c:v>
                </c:pt>
                <c:pt idx="28">
                  <c:v>90.55306181279083</c:v>
                </c:pt>
                <c:pt idx="29">
                  <c:v>96.617661189583941</c:v>
                </c:pt>
                <c:pt idx="30">
                  <c:v>100</c:v>
                </c:pt>
              </c:numCache>
            </c:numRef>
          </c:val>
          <c:smooth val="0"/>
          <c:extLst>
            <c:ext xmlns:c16="http://schemas.microsoft.com/office/drawing/2014/chart" uri="{C3380CC4-5D6E-409C-BE32-E72D297353CC}">
              <c16:uniqueId val="{00000001-AF19-40D8-A0F5-C2CCBC68163B}"/>
            </c:ext>
          </c:extLst>
        </c:ser>
        <c:ser>
          <c:idx val="2"/>
          <c:order val="2"/>
          <c:spPr>
            <a:ln>
              <a:noFill/>
            </a:ln>
          </c:spPr>
          <c:marker>
            <c:symbol val="none"/>
          </c:marker>
          <c:cat>
            <c:numRef>
              <c:f>[0]!Diagramm_Index_Jahreszahlen_Import</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[0]!Diagramm_Index_Exporte_AHP</c:f>
              <c:numCache>
                <c:formatCode>General</c:formatCode>
                <c:ptCount val="31"/>
                <c:pt idx="0">
                  <c:v>37.489882183649605</c:v>
                </c:pt>
                <c:pt idx="1">
                  <c:v>37.260545013040741</c:v>
                </c:pt>
                <c:pt idx="2">
                  <c:v>36.675960068351472</c:v>
                </c:pt>
                <c:pt idx="3">
                  <c:v>36.280241028869504</c:v>
                </c:pt>
                <c:pt idx="4">
                  <c:v>38.056479899271515</c:v>
                </c:pt>
                <c:pt idx="5">
                  <c:v>39.909164493209822</c:v>
                </c:pt>
                <c:pt idx="6">
                  <c:v>41.775339508948647</c:v>
                </c:pt>
                <c:pt idx="7">
                  <c:v>43.852864466228979</c:v>
                </c:pt>
                <c:pt idx="8">
                  <c:v>45.197409839014298</c:v>
                </c:pt>
                <c:pt idx="9">
                  <c:v>45.925892616242471</c:v>
                </c:pt>
                <c:pt idx="10">
                  <c:v>47.621188955841355</c:v>
                </c:pt>
                <c:pt idx="11">
                  <c:v>48.66444824174836</c:v>
                </c:pt>
                <c:pt idx="12">
                  <c:v>49.478370357046501</c:v>
                </c:pt>
                <c:pt idx="13">
                  <c:v>54.442845579638458</c:v>
                </c:pt>
                <c:pt idx="14">
                  <c:v>52.734058818239049</c:v>
                </c:pt>
                <c:pt idx="15">
                  <c:v>53.399586293731446</c:v>
                </c:pt>
                <c:pt idx="16">
                  <c:v>54.622717870312073</c:v>
                </c:pt>
                <c:pt idx="17">
                  <c:v>56.246065293641514</c:v>
                </c:pt>
                <c:pt idx="18">
                  <c:v>58.184189225649789</c:v>
                </c:pt>
                <c:pt idx="19">
                  <c:v>60.126809964924902</c:v>
                </c:pt>
                <c:pt idx="20">
                  <c:v>63.580357945858445</c:v>
                </c:pt>
                <c:pt idx="21">
                  <c:v>67.30371436280241</c:v>
                </c:pt>
                <c:pt idx="22">
                  <c:v>70.473963485924997</c:v>
                </c:pt>
                <c:pt idx="23">
                  <c:v>75.852144977066288</c:v>
                </c:pt>
                <c:pt idx="24">
                  <c:v>78.936954762118887</c:v>
                </c:pt>
                <c:pt idx="25">
                  <c:v>46.281140390322875</c:v>
                </c:pt>
                <c:pt idx="26">
                  <c:v>31.823905027430527</c:v>
                </c:pt>
                <c:pt idx="27">
                  <c:v>72.88425218095152</c:v>
                </c:pt>
                <c:pt idx="28">
                  <c:v>88.002518212069432</c:v>
                </c:pt>
                <c:pt idx="29">
                  <c:v>93.551578379350659</c:v>
                </c:pt>
                <c:pt idx="30">
                  <c:v>100</c:v>
                </c:pt>
              </c:numCache>
            </c:numRef>
          </c:val>
          <c:smooth val="0"/>
          <c:extLst>
            <c:ext xmlns:c16="http://schemas.microsoft.com/office/drawing/2014/chart" uri="{C3380CC4-5D6E-409C-BE32-E72D297353CC}">
              <c16:uniqueId val="{00000002-AF19-40D8-A0F5-C2CCBC68163B}"/>
            </c:ext>
          </c:extLst>
        </c:ser>
        <c:ser>
          <c:idx val="3"/>
          <c:order val="3"/>
          <c:spPr>
            <a:ln>
              <a:noFill/>
            </a:ln>
          </c:spPr>
          <c:marker>
            <c:symbol val="none"/>
          </c:marker>
          <c:cat>
            <c:numRef>
              <c:f>[0]!Diagramm_Index_Jahreszahlen_Import</c:f>
              <c:numCache>
                <c:formatCode>General</c:formatCode>
                <c:ptCount val="31"/>
                <c:pt idx="0">
                  <c:v>1995</c:v>
                </c:pt>
                <c:pt idx="1">
                  <c:v>1996</c:v>
                </c:pt>
                <c:pt idx="2">
                  <c:v>1997</c:v>
                </c:pt>
                <c:pt idx="3">
                  <c:v>1998</c:v>
                </c:pt>
                <c:pt idx="4">
                  <c:v>1999</c:v>
                </c:pt>
                <c:pt idx="5">
                  <c:v>2000</c:v>
                </c:pt>
                <c:pt idx="6">
                  <c:v>2001</c:v>
                </c:pt>
                <c:pt idx="7">
                  <c:v>2002</c:v>
                </c:pt>
                <c:pt idx="8">
                  <c:v>2003</c:v>
                </c:pt>
                <c:pt idx="9">
                  <c:v>2004</c:v>
                </c:pt>
                <c:pt idx="10">
                  <c:v>2005</c:v>
                </c:pt>
                <c:pt idx="11">
                  <c:v>2006</c:v>
                </c:pt>
                <c:pt idx="12">
                  <c:v>2007</c:v>
                </c:pt>
                <c:pt idx="13">
                  <c:v>2008</c:v>
                </c:pt>
                <c:pt idx="14">
                  <c:v>2009</c:v>
                </c:pt>
                <c:pt idx="15">
                  <c:v>2010</c:v>
                </c:pt>
                <c:pt idx="16">
                  <c:v>2011</c:v>
                </c:pt>
                <c:pt idx="17">
                  <c:v>2012</c:v>
                </c:pt>
                <c:pt idx="18">
                  <c:v>2013</c:v>
                </c:pt>
                <c:pt idx="19">
                  <c:v>2014</c:v>
                </c:pt>
                <c:pt idx="20">
                  <c:v>2015</c:v>
                </c:pt>
                <c:pt idx="21">
                  <c:v>2016</c:v>
                </c:pt>
                <c:pt idx="22">
                  <c:v>2017</c:v>
                </c:pt>
                <c:pt idx="23">
                  <c:v>2018</c:v>
                </c:pt>
                <c:pt idx="24">
                  <c:v>2019</c:v>
                </c:pt>
                <c:pt idx="25">
                  <c:v>2020</c:v>
                </c:pt>
                <c:pt idx="26">
                  <c:v>2021</c:v>
                </c:pt>
                <c:pt idx="27">
                  <c:v>2022</c:v>
                </c:pt>
                <c:pt idx="28">
                  <c:v>2023</c:v>
                </c:pt>
                <c:pt idx="29">
                  <c:v>2024</c:v>
                </c:pt>
                <c:pt idx="30">
                  <c:v>2025</c:v>
                </c:pt>
              </c:numCache>
            </c:numRef>
          </c:cat>
          <c:val>
            <c:numRef>
              <c:f>[0]!Diagramm_Index_Exporte_Welt_ohne_AHP</c:f>
              <c:numCache>
                <c:formatCode>General</c:formatCode>
                <c:ptCount val="31"/>
                <c:pt idx="0">
                  <c:v>13.267326732673268</c:v>
                </c:pt>
                <c:pt idx="1">
                  <c:v>14.809353275753107</c:v>
                </c:pt>
                <c:pt idx="2">
                  <c:v>15.56351379818833</c:v>
                </c:pt>
                <c:pt idx="3">
                  <c:v>17.77122393090373</c:v>
                </c:pt>
                <c:pt idx="4">
                  <c:v>18.644758092830561</c:v>
                </c:pt>
                <c:pt idx="5">
                  <c:v>22.105189242328489</c:v>
                </c:pt>
                <c:pt idx="6">
                  <c:v>23.888771855908995</c:v>
                </c:pt>
                <c:pt idx="7">
                  <c:v>24.949090653746225</c:v>
                </c:pt>
                <c:pt idx="8">
                  <c:v>26.074011656484796</c:v>
                </c:pt>
                <c:pt idx="9">
                  <c:v>28.16796573274349</c:v>
                </c:pt>
                <c:pt idx="10">
                  <c:v>31.799733164805843</c:v>
                </c:pt>
                <c:pt idx="11">
                  <c:v>35.861245699037994</c:v>
                </c:pt>
                <c:pt idx="12">
                  <c:v>40.383400042131875</c:v>
                </c:pt>
                <c:pt idx="13">
                  <c:v>43.353697071834844</c:v>
                </c:pt>
                <c:pt idx="14">
                  <c:v>38.056316269924864</c:v>
                </c:pt>
                <c:pt idx="15">
                  <c:v>39.026753739203706</c:v>
                </c:pt>
                <c:pt idx="16">
                  <c:v>42.78351239379257</c:v>
                </c:pt>
                <c:pt idx="17">
                  <c:v>45.706059967698899</c:v>
                </c:pt>
                <c:pt idx="18">
                  <c:v>50.89108910891089</c:v>
                </c:pt>
                <c:pt idx="19">
                  <c:v>53.810827891299773</c:v>
                </c:pt>
                <c:pt idx="20">
                  <c:v>54.87957306368935</c:v>
                </c:pt>
                <c:pt idx="21">
                  <c:v>57.000210659363802</c:v>
                </c:pt>
                <c:pt idx="22">
                  <c:v>61.418439716312058</c:v>
                </c:pt>
                <c:pt idx="23">
                  <c:v>66.527631486552906</c:v>
                </c:pt>
                <c:pt idx="24">
                  <c:v>71.493574889403831</c:v>
                </c:pt>
                <c:pt idx="25">
                  <c:v>65.523488519064671</c:v>
                </c:pt>
                <c:pt idx="26">
                  <c:v>74.557966434941363</c:v>
                </c:pt>
                <c:pt idx="27">
                  <c:v>87.52053928797136</c:v>
                </c:pt>
                <c:pt idx="28">
                  <c:v>89.541464784776352</c:v>
                </c:pt>
                <c:pt idx="29">
                  <c:v>96.178639140509787</c:v>
                </c:pt>
                <c:pt idx="30">
                  <c:v>100</c:v>
                </c:pt>
              </c:numCache>
            </c:numRef>
          </c:val>
          <c:smooth val="0"/>
          <c:extLst>
            <c:ext xmlns:c16="http://schemas.microsoft.com/office/drawing/2014/chart" uri="{C3380CC4-5D6E-409C-BE32-E72D297353CC}">
              <c16:uniqueId val="{00000003-AF19-40D8-A0F5-C2CCBC68163B}"/>
            </c:ext>
          </c:extLst>
        </c:ser>
        <c:dLbls>
          <c:showLegendKey val="0"/>
          <c:showVal val="0"/>
          <c:showCatName val="0"/>
          <c:showSerName val="0"/>
          <c:showPercent val="0"/>
          <c:showBubbleSize val="0"/>
        </c:dLbls>
        <c:smooth val="0"/>
        <c:axId val="107062016"/>
        <c:axId val="107063552"/>
      </c:lineChart>
      <c:catAx>
        <c:axId val="107062016"/>
        <c:scaling>
          <c:orientation val="minMax"/>
        </c:scaling>
        <c:delete val="0"/>
        <c:axPos val="b"/>
        <c:numFmt formatCode="General" sourceLinked="1"/>
        <c:majorTickMark val="out"/>
        <c:minorTickMark val="none"/>
        <c:tickLblPos val="nextTo"/>
        <c:txPr>
          <a:bodyPr rot="-5400000" vert="horz"/>
          <a:lstStyle/>
          <a:p>
            <a:pPr>
              <a:defRPr/>
            </a:pPr>
            <a:endParaRPr lang="de-DE"/>
          </a:p>
        </c:txPr>
        <c:crossAx val="107063552"/>
        <c:crossesAt val="-200"/>
        <c:auto val="1"/>
        <c:lblAlgn val="ctr"/>
        <c:lblOffset val="100"/>
        <c:noMultiLvlLbl val="0"/>
      </c:catAx>
      <c:valAx>
        <c:axId val="107063552"/>
        <c:scaling>
          <c:orientation val="minMax"/>
        </c:scaling>
        <c:delete val="0"/>
        <c:axPos val="l"/>
        <c:majorGridlines>
          <c:spPr>
            <a:ln>
              <a:noFill/>
            </a:ln>
          </c:spPr>
        </c:majorGridlines>
        <c:numFmt formatCode="#,##0" sourceLinked="0"/>
        <c:majorTickMark val="out"/>
        <c:minorTickMark val="none"/>
        <c:tickLblPos val="nextTo"/>
        <c:txPr>
          <a:bodyPr/>
          <a:lstStyle/>
          <a:p>
            <a:pPr>
              <a:defRPr sz="1000"/>
            </a:pPr>
            <a:endParaRPr lang="de-DE"/>
          </a:p>
        </c:txPr>
        <c:crossAx val="107062016"/>
        <c:crosses val="autoZero"/>
        <c:crossBetween val="between"/>
      </c:valAx>
    </c:plotArea>
    <c:legend>
      <c:legendPos val="r"/>
      <c:legendEntry>
        <c:idx val="2"/>
        <c:delete val="1"/>
      </c:legendEntry>
      <c:legendEntry>
        <c:idx val="3"/>
        <c:delete val="1"/>
      </c:legendEntry>
      <c:layout>
        <c:manualLayout>
          <c:xMode val="edge"/>
          <c:yMode val="edge"/>
          <c:x val="0.51295287916254051"/>
          <c:y val="2.2732017420539004E-3"/>
          <c:w val="0.48242757442750522"/>
          <c:h val="0.16495147154140757"/>
        </c:manualLayout>
      </c:layout>
      <c:overlay val="1"/>
      <c:spPr>
        <a:solidFill>
          <a:srgbClr val="FFFFFF">
            <a:alpha val="90000"/>
          </a:srgbClr>
        </a:solidFill>
      </c:spPr>
    </c:legend>
    <c:plotVisOnly val="1"/>
    <c:dispBlanksAs val="gap"/>
    <c:showDLblsOverMax val="0"/>
  </c:chart>
  <c:spPr>
    <a:noFill/>
    <a:ln>
      <a:noFill/>
    </a:ln>
  </c:spPr>
  <c:txPr>
    <a:bodyPr/>
    <a:lstStyle/>
    <a:p>
      <a:pPr>
        <a:defRPr>
          <a:latin typeface="Trebuchet MS" panose="020B0603020202020204" pitchFamily="34" charset="0"/>
        </a:defRPr>
      </a:pPr>
      <a:endParaRPr lang="de-DE"/>
    </a:p>
  </c:txPr>
  <c:printSettings>
    <c:headerFooter/>
    <c:pageMargins b="0.78740157499999996" l="0.7" r="0.7" t="0.78740157499999996" header="0.3" footer="0.3"/>
    <c:pageSetup/>
  </c:printSettings>
</c:chartSpace>
</file>

<file path=xl/ctrlProps/ctrlProp1.xml><?xml version="1.0" encoding="utf-8"?>
<formControlPr xmlns="http://schemas.microsoft.com/office/spreadsheetml/2009/9/main" objectType="Spin" dx="16" fmlaLink="Dropdown!$J$3" max="2025" min="1995" page="10" val="2025"/>
</file>

<file path=xl/ctrlProps/ctrlProp2.xml><?xml version="1.0" encoding="utf-8"?>
<formControlPr xmlns="http://schemas.microsoft.com/office/spreadsheetml/2009/9/main" objectType="Spin" dx="16" fmlaLink="Dropdown!$O$3" max="2025" min="1995" page="10" val="2025"/>
</file>

<file path=xl/ctrlProps/ctrlProp3.xml><?xml version="1.0" encoding="utf-8"?>
<formControlPr xmlns="http://schemas.microsoft.com/office/spreadsheetml/2009/9/main" objectType="Radio" checked="Checked" firstButton="1" fmlaLink="Texte!$A$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Drop" dropLines="30" dropStyle="combo" dx="20" fmlaLink="Dropdown!$D$3" fmlaRange="Dropdown!$B$3:$C$31" noThreeD="1" sel="8"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7</xdr:col>
          <xdr:colOff>1098550</xdr:colOff>
          <xdr:row>1</xdr:row>
          <xdr:rowOff>0</xdr:rowOff>
        </xdr:from>
        <xdr:to>
          <xdr:col>7</xdr:col>
          <xdr:colOff>1231900</xdr:colOff>
          <xdr:row>2</xdr:row>
          <xdr:rowOff>12700</xdr:rowOff>
        </xdr:to>
        <xdr:sp macro="" textlink="">
          <xdr:nvSpPr>
            <xdr:cNvPr id="612354" name="Spinner 2" hidden="1">
              <a:extLst>
                <a:ext uri="{63B3BB69-23CF-44E3-9099-C40C66FF867C}">
                  <a14:compatExt spid="_x0000_s612354"/>
                </a:ext>
                <a:ext uri="{FF2B5EF4-FFF2-40B4-BE49-F238E27FC236}">
                  <a16:creationId xmlns:a16="http://schemas.microsoft.com/office/drawing/2014/main" id="{00000000-0008-0000-0000-0000025809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absolute">
    <xdr:from>
      <xdr:col>0</xdr:col>
      <xdr:colOff>47626</xdr:colOff>
      <xdr:row>7</xdr:row>
      <xdr:rowOff>110120</xdr:rowOff>
    </xdr:from>
    <xdr:to>
      <xdr:col>5</xdr:col>
      <xdr:colOff>462492</xdr:colOff>
      <xdr:row>24</xdr:row>
      <xdr:rowOff>127582</xdr:rowOff>
    </xdr:to>
    <xdr:graphicFrame macro="">
      <xdr:nvGraphicFramePr>
        <xdr:cNvPr id="2" name="Diagramm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5</xdr:col>
      <xdr:colOff>527050</xdr:colOff>
      <xdr:row>7</xdr:row>
      <xdr:rowOff>112501</xdr:rowOff>
    </xdr:from>
    <xdr:to>
      <xdr:col>11</xdr:col>
      <xdr:colOff>187325</xdr:colOff>
      <xdr:row>24</xdr:row>
      <xdr:rowOff>125730</xdr:rowOff>
    </xdr:to>
    <xdr:graphicFrame macro="">
      <xdr:nvGraphicFramePr>
        <xdr:cNvPr id="5" name="Diagramm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absolute">
        <xdr:from>
          <xdr:col>3</xdr:col>
          <xdr:colOff>88900</xdr:colOff>
          <xdr:row>41</xdr:row>
          <xdr:rowOff>184150</xdr:rowOff>
        </xdr:from>
        <xdr:to>
          <xdr:col>3</xdr:col>
          <xdr:colOff>228600</xdr:colOff>
          <xdr:row>42</xdr:row>
          <xdr:rowOff>184150</xdr:rowOff>
        </xdr:to>
        <xdr:sp macro="" textlink="">
          <xdr:nvSpPr>
            <xdr:cNvPr id="612355" name="Spinner 3" hidden="1">
              <a:extLst>
                <a:ext uri="{63B3BB69-23CF-44E3-9099-C40C66FF867C}">
                  <a14:compatExt spid="_x0000_s612355"/>
                </a:ext>
                <a:ext uri="{FF2B5EF4-FFF2-40B4-BE49-F238E27FC236}">
                  <a16:creationId xmlns:a16="http://schemas.microsoft.com/office/drawing/2014/main" id="{00000000-0008-0000-0000-0000035809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editAs="absolute">
    <xdr:from>
      <xdr:col>0</xdr:col>
      <xdr:colOff>0</xdr:colOff>
      <xdr:row>44</xdr:row>
      <xdr:rowOff>78097</xdr:rowOff>
    </xdr:from>
    <xdr:to>
      <xdr:col>5</xdr:col>
      <xdr:colOff>495300</xdr:colOff>
      <xdr:row>64</xdr:row>
      <xdr:rowOff>68580</xdr:rowOff>
    </xdr:to>
    <xdr:graphicFrame macro="">
      <xdr:nvGraphicFramePr>
        <xdr:cNvPr id="9" name="Diagramm 8">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5</xdr:col>
      <xdr:colOff>537634</xdr:colOff>
      <xdr:row>44</xdr:row>
      <xdr:rowOff>78098</xdr:rowOff>
    </xdr:from>
    <xdr:to>
      <xdr:col>11</xdr:col>
      <xdr:colOff>187325</xdr:colOff>
      <xdr:row>64</xdr:row>
      <xdr:rowOff>68581</xdr:rowOff>
    </xdr:to>
    <xdr:graphicFrame macro="">
      <xdr:nvGraphicFramePr>
        <xdr:cNvPr id="11" name="Diagramm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40005</xdr:colOff>
      <xdr:row>0</xdr:row>
      <xdr:rowOff>38100</xdr:rowOff>
    </xdr:from>
    <xdr:to>
      <xdr:col>11</xdr:col>
      <xdr:colOff>799719</xdr:colOff>
      <xdr:row>2</xdr:row>
      <xdr:rowOff>140780</xdr:rowOff>
    </xdr:to>
    <xdr:pic>
      <xdr:nvPicPr>
        <xdr:cNvPr id="12" name="Grafik 11" descr="http://mossportal.res.wk.wknet/folienportal/Bilder%20und%20Logos/WKÖ%20Logos/wika_oe4.png">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5" cstate="print"/>
        <a:srcRect/>
        <a:stretch>
          <a:fillRect/>
        </a:stretch>
      </xdr:blipFill>
      <xdr:spPr bwMode="auto">
        <a:xfrm>
          <a:off x="9275445" y="38100"/>
          <a:ext cx="1285494" cy="369380"/>
        </a:xfrm>
        <a:prstGeom prst="rect">
          <a:avLst/>
        </a:prstGeom>
        <a:noFill/>
        <a:ln w="9525">
          <a:noFill/>
          <a:miter lim="800000"/>
          <a:headEnd/>
          <a:tailEnd/>
        </a:ln>
      </xdr:spPr>
    </xdr:pic>
    <xdr:clientData/>
  </xdr:twoCellAnchor>
  <xdr:twoCellAnchor editAs="oneCell">
    <xdr:from>
      <xdr:col>10</xdr:col>
      <xdr:colOff>30480</xdr:colOff>
      <xdr:row>40</xdr:row>
      <xdr:rowOff>55245</xdr:rowOff>
    </xdr:from>
    <xdr:to>
      <xdr:col>11</xdr:col>
      <xdr:colOff>790194</xdr:colOff>
      <xdr:row>42</xdr:row>
      <xdr:rowOff>142685</xdr:rowOff>
    </xdr:to>
    <xdr:pic>
      <xdr:nvPicPr>
        <xdr:cNvPr id="13" name="Grafik 12" descr="http://mossportal.res.wk.wknet/folienportal/Bilder%20und%20Logos/WKÖ%20Logos/wika_oe4.png">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5" cstate="print"/>
        <a:srcRect/>
        <a:stretch>
          <a:fillRect/>
        </a:stretch>
      </xdr:blipFill>
      <xdr:spPr bwMode="auto">
        <a:xfrm>
          <a:off x="9041130" y="6941820"/>
          <a:ext cx="1274064" cy="37319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editAs="oneCell">
        <xdr:from>
          <xdr:col>12</xdr:col>
          <xdr:colOff>381000</xdr:colOff>
          <xdr:row>1</xdr:row>
          <xdr:rowOff>107950</xdr:rowOff>
        </xdr:from>
        <xdr:to>
          <xdr:col>13</xdr:col>
          <xdr:colOff>374650</xdr:colOff>
          <xdr:row>2</xdr:row>
          <xdr:rowOff>76200</xdr:rowOff>
        </xdr:to>
        <xdr:sp macro="" textlink="">
          <xdr:nvSpPr>
            <xdr:cNvPr id="612357" name="Option Button 5" hidden="1">
              <a:extLst>
                <a:ext uri="{63B3BB69-23CF-44E3-9099-C40C66FF867C}">
                  <a14:compatExt spid="_x0000_s612357"/>
                </a:ext>
                <a:ext uri="{FF2B5EF4-FFF2-40B4-BE49-F238E27FC236}">
                  <a16:creationId xmlns:a16="http://schemas.microsoft.com/office/drawing/2014/main" id="{00000000-0008-0000-0000-0000055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Deutsch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381000</xdr:colOff>
          <xdr:row>2</xdr:row>
          <xdr:rowOff>38100</xdr:rowOff>
        </xdr:from>
        <xdr:to>
          <xdr:col>13</xdr:col>
          <xdr:colOff>374650</xdr:colOff>
          <xdr:row>3</xdr:row>
          <xdr:rowOff>69850</xdr:rowOff>
        </xdr:to>
        <xdr:sp macro="" textlink="">
          <xdr:nvSpPr>
            <xdr:cNvPr id="612358" name="Option Button 6" hidden="1">
              <a:extLst>
                <a:ext uri="{63B3BB69-23CF-44E3-9099-C40C66FF867C}">
                  <a14:compatExt spid="_x0000_s612358"/>
                </a:ext>
                <a:ext uri="{FF2B5EF4-FFF2-40B4-BE49-F238E27FC236}">
                  <a16:creationId xmlns:a16="http://schemas.microsoft.com/office/drawing/2014/main" id="{00000000-0008-0000-0000-00000658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de-AT" sz="800" b="0" i="0" u="none" strike="noStrike" baseline="0">
                  <a:solidFill>
                    <a:srgbClr val="000000"/>
                  </a:solidFill>
                  <a:latin typeface="Segoe UI"/>
                  <a:cs typeface="Segoe UI"/>
                </a:rPr>
                <a:t>Englisch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0</xdr:row>
          <xdr:rowOff>31750</xdr:rowOff>
        </xdr:from>
        <xdr:to>
          <xdr:col>13</xdr:col>
          <xdr:colOff>565150</xdr:colOff>
          <xdr:row>3</xdr:row>
          <xdr:rowOff>146050</xdr:rowOff>
        </xdr:to>
        <xdr:sp macro="" textlink="">
          <xdr:nvSpPr>
            <xdr:cNvPr id="612359" name="Group Box 7" hidden="1">
              <a:extLst>
                <a:ext uri="{63B3BB69-23CF-44E3-9099-C40C66FF867C}">
                  <a14:compatExt spid="_x0000_s612359"/>
                </a:ext>
                <a:ext uri="{FF2B5EF4-FFF2-40B4-BE49-F238E27FC236}">
                  <a16:creationId xmlns:a16="http://schemas.microsoft.com/office/drawing/2014/main" id="{00000000-0008-0000-0000-0000075809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de-AT" sz="800" b="0" i="0" u="none" strike="noStrike" baseline="0">
                  <a:solidFill>
                    <a:srgbClr val="000000"/>
                  </a:solidFill>
                  <a:latin typeface="Segoe UI"/>
                  <a:cs typeface="Segoe UI"/>
                </a:rPr>
                <a:t>Sprache/Language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679450</xdr:colOff>
          <xdr:row>1</xdr:row>
          <xdr:rowOff>12700</xdr:rowOff>
        </xdr:from>
        <xdr:to>
          <xdr:col>5</xdr:col>
          <xdr:colOff>222250</xdr:colOff>
          <xdr:row>2</xdr:row>
          <xdr:rowOff>0</xdr:rowOff>
        </xdr:to>
        <xdr:sp macro="" textlink="">
          <xdr:nvSpPr>
            <xdr:cNvPr id="612360" name="Drop Down 8" hidden="1">
              <a:extLst>
                <a:ext uri="{63B3BB69-23CF-44E3-9099-C40C66FF867C}">
                  <a14:compatExt spid="_x0000_s612360"/>
                </a:ext>
                <a:ext uri="{FF2B5EF4-FFF2-40B4-BE49-F238E27FC236}">
                  <a16:creationId xmlns:a16="http://schemas.microsoft.com/office/drawing/2014/main" id="{00000000-0008-0000-0000-0000085809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Abfrage von MS Access Database" connectionId="1" xr16:uid="{00000000-0016-0000-0100-000000000000}" autoFormatId="16" applyNumberFormats="0" applyBorderFormats="0" applyFontFormats="0" applyPatternFormats="0" applyAlignmentFormats="0" applyWidthHeightFormats="0">
  <queryTableRefresh nextId="90" unboundColumnsRight="31">
    <queryTableFields count="35">
      <queryTableField id="1" name="LAND" tableColumnId="1"/>
      <queryTableField id="2" name="Partnerland" tableColumnId="2"/>
      <queryTableField id="73" name="VON" tableColumnId="38"/>
      <queryTableField id="74" name="BIS" tableColumnId="39"/>
      <queryTableField id="38" dataBound="0" tableColumnId="3"/>
      <queryTableField id="39" dataBound="0" tableColumnId="4"/>
      <queryTableField id="40" dataBound="0" tableColumnId="5"/>
      <queryTableField id="41" dataBound="0" tableColumnId="6"/>
      <queryTableField id="42" dataBound="0" tableColumnId="7"/>
      <queryTableField id="43" dataBound="0" tableColumnId="8"/>
      <queryTableField id="44" dataBound="0" tableColumnId="9"/>
      <queryTableField id="45" dataBound="0" tableColumnId="10"/>
      <queryTableField id="46" dataBound="0" tableColumnId="11"/>
      <queryTableField id="47" dataBound="0" tableColumnId="12"/>
      <queryTableField id="48" dataBound="0" tableColumnId="13"/>
      <queryTableField id="49" dataBound="0" tableColumnId="14"/>
      <queryTableField id="50" dataBound="0" tableColumnId="15"/>
      <queryTableField id="51" dataBound="0" tableColumnId="16"/>
      <queryTableField id="52" dataBound="0" tableColumnId="17"/>
      <queryTableField id="53" dataBound="0" tableColumnId="18"/>
      <queryTableField id="54" dataBound="0" tableColumnId="19"/>
      <queryTableField id="55" dataBound="0" tableColumnId="20"/>
      <queryTableField id="56" dataBound="0" tableColumnId="21"/>
      <queryTableField id="57" dataBound="0" tableColumnId="22"/>
      <queryTableField id="79" dataBound="0" tableColumnId="23"/>
      <queryTableField id="80" dataBound="0" tableColumnId="24"/>
      <queryTableField id="81" dataBound="0" tableColumnId="25"/>
      <queryTableField id="82" dataBound="0" tableColumnId="26"/>
      <queryTableField id="83" dataBound="0" tableColumnId="27"/>
      <queryTableField id="84" dataBound="0" tableColumnId="28"/>
      <queryTableField id="85" dataBound="0" tableColumnId="29"/>
      <queryTableField id="86" dataBound="0" tableColumnId="30"/>
      <queryTableField id="87" dataBound="0" tableColumnId="31"/>
      <queryTableField id="88" dataBound="0" tableColumnId="32"/>
      <queryTableField id="89" dataBound="0" tableColumnId="33"/>
    </queryTableFields>
    <queryTableDeletedFields count="36">
      <deletedField name="1998"/>
      <deletedField name="1999"/>
      <deletedField name="2000"/>
      <deletedField name="2001"/>
      <deletedField name="2002"/>
      <deletedField name="2003"/>
      <deletedField name="2004"/>
      <deletedField name="2005"/>
      <deletedField name="2006"/>
      <deletedField name="2007"/>
      <deletedField name="2008"/>
      <deletedField name="2009"/>
      <deletedField name="2010"/>
      <deletedField name="2011"/>
      <deletedField name="2012"/>
      <deletedField name="2013"/>
      <deletedField name="1978"/>
      <deletedField name="1979"/>
      <deletedField name="1980"/>
      <deletedField name="1981"/>
      <deletedField name="1982"/>
      <deletedField name="1983"/>
      <deletedField name="1984"/>
      <deletedField name="1985"/>
      <deletedField name="1986"/>
      <deletedField name="1987"/>
      <deletedField name="1988"/>
      <deletedField name="1989"/>
      <deletedField name="1990"/>
      <deletedField name="1991"/>
      <deletedField name="1992"/>
      <deletedField name="1993"/>
      <deletedField name="1994"/>
      <deletedField name="1995"/>
      <deletedField name="1996"/>
      <deletedField name="1997"/>
    </queryTableDeleted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Abfrage von MS Access Database_1" connectionId="1" xr16:uid="{00000000-0016-0000-0200-000001000000}" autoFormatId="16" applyNumberFormats="0" applyBorderFormats="0" applyFontFormats="0" applyPatternFormats="0" applyAlignmentFormats="0" applyWidthHeightFormats="0">
  <queryTableRefresh nextId="90" unboundColumnsRight="31">
    <queryTableFields count="35">
      <queryTableField id="1" name="LAND" tableColumnId="1"/>
      <queryTableField id="2" name="Partnerland" tableColumnId="2"/>
      <queryTableField id="73" name="VON" tableColumnId="38"/>
      <queryTableField id="74" name="BIS" tableColumnId="39"/>
      <queryTableField id="38" dataBound="0" tableColumnId="3"/>
      <queryTableField id="39" dataBound="0" tableColumnId="4"/>
      <queryTableField id="40" dataBound="0" tableColumnId="5"/>
      <queryTableField id="41" dataBound="0" tableColumnId="6"/>
      <queryTableField id="42" dataBound="0" tableColumnId="7"/>
      <queryTableField id="43" dataBound="0" tableColumnId="8"/>
      <queryTableField id="44" dataBound="0" tableColumnId="9"/>
      <queryTableField id="45" dataBound="0" tableColumnId="10"/>
      <queryTableField id="46" dataBound="0" tableColumnId="11"/>
      <queryTableField id="47" dataBound="0" tableColumnId="12"/>
      <queryTableField id="48" dataBound="0" tableColumnId="13"/>
      <queryTableField id="49" dataBound="0" tableColumnId="14"/>
      <queryTableField id="50" dataBound="0" tableColumnId="15"/>
      <queryTableField id="51" dataBound="0" tableColumnId="16"/>
      <queryTableField id="52" dataBound="0" tableColumnId="17"/>
      <queryTableField id="53" dataBound="0" tableColumnId="18"/>
      <queryTableField id="54" dataBound="0" tableColumnId="19"/>
      <queryTableField id="55" dataBound="0" tableColumnId="20"/>
      <queryTableField id="56" dataBound="0" tableColumnId="21"/>
      <queryTableField id="57" dataBound="0" tableColumnId="22"/>
      <queryTableField id="79" dataBound="0" tableColumnId="23"/>
      <queryTableField id="80" dataBound="0" tableColumnId="24"/>
      <queryTableField id="81" dataBound="0" tableColumnId="25"/>
      <queryTableField id="82" dataBound="0" tableColumnId="26"/>
      <queryTableField id="83" dataBound="0" tableColumnId="27"/>
      <queryTableField id="84" dataBound="0" tableColumnId="28"/>
      <queryTableField id="85" dataBound="0" tableColumnId="29"/>
      <queryTableField id="86" dataBound="0" tableColumnId="30"/>
      <queryTableField id="87" dataBound="0" tableColumnId="31"/>
      <queryTableField id="88" dataBound="0" tableColumnId="32"/>
      <queryTableField id="89" dataBound="0" tableColumnId="33"/>
    </queryTableFields>
    <queryTableDeletedFields count="36">
      <deletedField name="1998"/>
      <deletedField name="1999"/>
      <deletedField name="2000"/>
      <deletedField name="2001"/>
      <deletedField name="2002"/>
      <deletedField name="2003"/>
      <deletedField name="2004"/>
      <deletedField name="2005"/>
      <deletedField name="2006"/>
      <deletedField name="2007"/>
      <deletedField name="2008"/>
      <deletedField name="2009"/>
      <deletedField name="2010"/>
      <deletedField name="2011"/>
      <deletedField name="2012"/>
      <deletedField name="2013"/>
      <deletedField name="1978"/>
      <deletedField name="1979"/>
      <deletedField name="1980"/>
      <deletedField name="1981"/>
      <deletedField name="1982"/>
      <deletedField name="1983"/>
      <deletedField name="1984"/>
      <deletedField name="1985"/>
      <deletedField name="1986"/>
      <deletedField name="1987"/>
      <deletedField name="1988"/>
      <deletedField name="1989"/>
      <deletedField name="1990"/>
      <deletedField name="1991"/>
      <deletedField name="1992"/>
      <deletedField name="1993"/>
      <deletedField name="1994"/>
      <deletedField name="1995"/>
      <deletedField name="1996"/>
      <deletedField name="1997"/>
    </queryTableDeleted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Abfrage von MS Access Database" connectionId="2" xr16:uid="{00000000-0016-0000-0500-000002000000}" autoFormatId="16" applyNumberFormats="0" applyBorderFormats="0" applyFontFormats="0" applyPatternFormats="0" applyAlignmentFormats="0" applyWidthHeightFormats="0">
  <queryTableRefresh nextId="7" unboundColumnsRight="4">
    <queryTableFields count="6">
      <queryTableField id="1" name="LAND" tableColumnId="1"/>
      <queryTableField id="2" name="Partnerland" tableColumnId="2"/>
      <queryTableField id="5" dataBound="0" tableColumnId="5"/>
      <queryTableField id="3" dataBound="0" tableColumnId="3"/>
      <queryTableField id="4" dataBound="0" tableColumnId="4"/>
      <queryTableField id="6" dataBound="0" tableColumnId="6"/>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Abfrage von MS Access Database_1" connectionId="3" xr16:uid="{00000000-0016-0000-0500-000003000000}" autoFormatId="16" applyNumberFormats="0" applyBorderFormats="0" applyFontFormats="0" applyPatternFormats="0" applyAlignmentFormats="0" applyWidthHeightFormats="0">
  <queryTableRefresh nextId="5" unboundColumnsRight="2">
    <queryTableFields count="3">
      <queryTableField id="1" name="Jahr" tableColumnId="1"/>
      <queryTableField id="4" dataBound="0" tableColumnId="3"/>
      <queryTableField id="2" dataBound="0" tableColumnId="2"/>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Abfrage von MS Access Database_2" connectionId="4" xr16:uid="{00000000-0016-0000-0500-000004000000}" autoFormatId="16" applyNumberFormats="0" applyBorderFormats="0" applyFontFormats="0" applyPatternFormats="0" applyAlignmentFormats="0" applyWidthHeightFormats="0">
  <queryTableRefresh nextId="5" unboundColumnsRight="2">
    <queryTableFields count="3">
      <queryTableField id="1" name="Jahr" tableColumnId="1"/>
      <queryTableField id="4" dataBound="0" tableColumnId="3"/>
      <queryTableField id="2" dataBound="0" tableColumnId="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e_Abfrage_von_MS_Access_Database" displayName="Tabelle_Abfrage_von_MS_Access_Database" ref="A1:AI30" tableType="queryTable" totalsRowShown="0">
  <autoFilter ref="A1:AI30" xr:uid="{00000000-0009-0000-0100-000001000000}"/>
  <sortState xmlns:xlrd2="http://schemas.microsoft.com/office/spreadsheetml/2017/richdata2" ref="A2:X72">
    <sortCondition ref="A2:A72"/>
  </sortState>
  <tableColumns count="35">
    <tableColumn id="1" xr3:uid="{00000000-0010-0000-0000-000001000000}" uniqueName="1" name="LAND" queryTableFieldId="1"/>
    <tableColumn id="2" xr3:uid="{00000000-0010-0000-0000-000002000000}" uniqueName="2" name="Positionen" queryTableFieldId="2"/>
    <tableColumn id="38" xr3:uid="{00000000-0010-0000-0000-000026000000}" uniqueName="38" name="VON" queryTableFieldId="73"/>
    <tableColumn id="39" xr3:uid="{00000000-0010-0000-0000-000027000000}" uniqueName="39" name="BIS" queryTableFieldId="74"/>
    <tableColumn id="3" xr3:uid="{00000000-0010-0000-0000-000003000000}" uniqueName="3" name="1995" queryTableFieldId="38" dataDxfId="61" dataCellStyle="Verknüpfte Zelle"/>
    <tableColumn id="4" xr3:uid="{00000000-0010-0000-0000-000004000000}" uniqueName="4" name="1996" queryTableFieldId="39" dataDxfId="60" dataCellStyle="Verknüpfte Zelle"/>
    <tableColumn id="5" xr3:uid="{00000000-0010-0000-0000-000005000000}" uniqueName="5" name="1997" queryTableFieldId="40" dataDxfId="59" dataCellStyle="Verknüpfte Zelle"/>
    <tableColumn id="6" xr3:uid="{00000000-0010-0000-0000-000006000000}" uniqueName="6" name="1998" queryTableFieldId="41" dataDxfId="58" dataCellStyle="Verknüpfte Zelle"/>
    <tableColumn id="7" xr3:uid="{00000000-0010-0000-0000-000007000000}" uniqueName="7" name="1999" queryTableFieldId="42" dataDxfId="57" dataCellStyle="Verknüpfte Zelle"/>
    <tableColumn id="8" xr3:uid="{00000000-0010-0000-0000-000008000000}" uniqueName="8" name="2000" queryTableFieldId="43" dataDxfId="56" dataCellStyle="Verknüpfte Zelle"/>
    <tableColumn id="9" xr3:uid="{00000000-0010-0000-0000-000009000000}" uniqueName="9" name="2001" queryTableFieldId="44" dataDxfId="55" dataCellStyle="Verknüpfte Zelle"/>
    <tableColumn id="10" xr3:uid="{00000000-0010-0000-0000-00000A000000}" uniqueName="10" name="2002" queryTableFieldId="45" dataDxfId="54" dataCellStyle="Verknüpfte Zelle"/>
    <tableColumn id="11" xr3:uid="{00000000-0010-0000-0000-00000B000000}" uniqueName="11" name="2003" queryTableFieldId="46" dataDxfId="53" dataCellStyle="Verknüpfte Zelle"/>
    <tableColumn id="12" xr3:uid="{00000000-0010-0000-0000-00000C000000}" uniqueName="12" name="2004" queryTableFieldId="47" dataDxfId="52" dataCellStyle="Verknüpfte Zelle"/>
    <tableColumn id="13" xr3:uid="{00000000-0010-0000-0000-00000D000000}" uniqueName="13" name="2005" queryTableFieldId="48" dataDxfId="51" dataCellStyle="Verknüpfte Zelle"/>
    <tableColumn id="14" xr3:uid="{00000000-0010-0000-0000-00000E000000}" uniqueName="14" name="2006" queryTableFieldId="49" dataDxfId="50" dataCellStyle="Verknüpfte Zelle"/>
    <tableColumn id="15" xr3:uid="{00000000-0010-0000-0000-00000F000000}" uniqueName="15" name="2007" queryTableFieldId="50" dataDxfId="49" dataCellStyle="Verknüpfte Zelle"/>
    <tableColumn id="16" xr3:uid="{00000000-0010-0000-0000-000010000000}" uniqueName="16" name="2008" queryTableFieldId="51" dataDxfId="48" dataCellStyle="Verknüpfte Zelle"/>
    <tableColumn id="17" xr3:uid="{00000000-0010-0000-0000-000011000000}" uniqueName="17" name="2009" queryTableFieldId="52" dataDxfId="47" dataCellStyle="Verknüpfte Zelle"/>
    <tableColumn id="18" xr3:uid="{00000000-0010-0000-0000-000012000000}" uniqueName="18" name="2010" queryTableFieldId="53" dataDxfId="46" dataCellStyle="Verknüpfte Zelle"/>
    <tableColumn id="19" xr3:uid="{00000000-0010-0000-0000-000013000000}" uniqueName="19" name="2011" queryTableFieldId="54" dataDxfId="45" dataCellStyle="Verknüpfte Zelle"/>
    <tableColumn id="20" xr3:uid="{00000000-0010-0000-0000-000014000000}" uniqueName="20" name="2012" queryTableFieldId="55" dataDxfId="44" dataCellStyle="Verknüpfte Zelle"/>
    <tableColumn id="21" xr3:uid="{00000000-0010-0000-0000-000015000000}" uniqueName="21" name="2013" queryTableFieldId="56" dataDxfId="43" dataCellStyle="Verknüpfte Zelle"/>
    <tableColumn id="22" xr3:uid="{00000000-0010-0000-0000-000016000000}" uniqueName="22" name="2014" queryTableFieldId="57" dataDxfId="42" dataCellStyle="Verknüpfte Zelle"/>
    <tableColumn id="23" xr3:uid="{00000000-0010-0000-0000-000017000000}" uniqueName="23" name="2015" queryTableFieldId="79" dataDxfId="41" dataCellStyle="Verknüpfte Zelle"/>
    <tableColumn id="24" xr3:uid="{00000000-0010-0000-0000-000018000000}" uniqueName="24" name="2016" queryTableFieldId="80" dataDxfId="40" dataCellStyle="Verknüpfte Zelle"/>
    <tableColumn id="25" xr3:uid="{00000000-0010-0000-0000-000019000000}" uniqueName="25" name="2017" queryTableFieldId="81" dataDxfId="39" dataCellStyle="Verknüpfte Zelle"/>
    <tableColumn id="26" xr3:uid="{00000000-0010-0000-0000-00001A000000}" uniqueName="26" name="2018" queryTableFieldId="82" dataDxfId="38" dataCellStyle="Verknüpfte Zelle"/>
    <tableColumn id="27" xr3:uid="{00000000-0010-0000-0000-00001B000000}" uniqueName="27" name="2019" queryTableFieldId="83" dataDxfId="37" dataCellStyle="Verknüpfte Zelle"/>
    <tableColumn id="28" xr3:uid="{FBD796AE-F41E-437C-9B3C-5FFA3046DFEC}" uniqueName="28" name="2020" queryTableFieldId="84" dataDxfId="36" dataCellStyle="Verknüpfte Zelle"/>
    <tableColumn id="29" xr3:uid="{5ACC56C4-119C-417B-B826-EFEC4C45DDFE}" uniqueName="29" name="2021" queryTableFieldId="85" dataDxfId="35" dataCellStyle="Verknüpfte Zelle"/>
    <tableColumn id="30" xr3:uid="{3DBA6856-5711-4A07-9E81-348BA979DA99}" uniqueName="30" name="2022" queryTableFieldId="86" dataDxfId="34" dataCellStyle="Verknüpfte Zelle"/>
    <tableColumn id="31" xr3:uid="{ACD06F70-6B7C-4C2F-96C0-3E7FF4C17F0F}" uniqueName="31" name="2023" queryTableFieldId="87" dataDxfId="33" dataCellStyle="Verknüpfte Zelle"/>
    <tableColumn id="32" xr3:uid="{A4038AC0-4449-44B5-8E90-B9DDDFBC8EB2}" uniqueName="32" name="2024" queryTableFieldId="88" dataDxfId="32" dataCellStyle="Verknüpfte Zelle"/>
    <tableColumn id="33" xr3:uid="{E5AD156F-8833-4948-9C29-34557F5BB620}" uniqueName="33" name="2025" queryTableFieldId="89" dataDxfId="31" dataCellStyle="Verknüpfte Zelle"/>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1000000}" name="Tabelle_Abfrage_von_MS_Access_Database7" displayName="Tabelle_Abfrage_von_MS_Access_Database7" ref="A1:AI30" tableType="queryTable" totalsRowShown="0">
  <autoFilter ref="A1:AI30" xr:uid="{00000000-0009-0000-0100-000006000000}"/>
  <sortState xmlns:xlrd2="http://schemas.microsoft.com/office/spreadsheetml/2017/richdata2" ref="A2:X72">
    <sortCondition ref="A2:A72"/>
  </sortState>
  <tableColumns count="35">
    <tableColumn id="1" xr3:uid="{00000000-0010-0000-0100-000001000000}" uniqueName="1" name="LAND" queryTableFieldId="1"/>
    <tableColumn id="2" xr3:uid="{00000000-0010-0000-0100-000002000000}" uniqueName="2" name="Positionen" queryTableFieldId="2"/>
    <tableColumn id="38" xr3:uid="{00000000-0010-0000-0100-000026000000}" uniqueName="38" name="VON" queryTableFieldId="73"/>
    <tableColumn id="39" xr3:uid="{00000000-0010-0000-0100-000027000000}" uniqueName="39" name="BIS" queryTableFieldId="74"/>
    <tableColumn id="3" xr3:uid="{00000000-0010-0000-0100-000003000000}" uniqueName="3" name="1995" queryTableFieldId="38" dataDxfId="30" dataCellStyle="Standard_Tabelle1"/>
    <tableColumn id="4" xr3:uid="{00000000-0010-0000-0100-000004000000}" uniqueName="4" name="1996" queryTableFieldId="39" dataDxfId="29" dataCellStyle="Standard_Tabelle1"/>
    <tableColumn id="5" xr3:uid="{00000000-0010-0000-0100-000005000000}" uniqueName="5" name="1997" queryTableFieldId="40" dataDxfId="28" dataCellStyle="Standard_Tabelle1"/>
    <tableColumn id="6" xr3:uid="{00000000-0010-0000-0100-000006000000}" uniqueName="6" name="1998" queryTableFieldId="41" dataDxfId="27" dataCellStyle="Standard_Tabelle1"/>
    <tableColumn id="7" xr3:uid="{00000000-0010-0000-0100-000007000000}" uniqueName="7" name="1999" queryTableFieldId="42" dataDxfId="26" dataCellStyle="Standard_Tabelle1"/>
    <tableColumn id="8" xr3:uid="{00000000-0010-0000-0100-000008000000}" uniqueName="8" name="2000" queryTableFieldId="43" dataDxfId="25" dataCellStyle="Standard_Tabelle1"/>
    <tableColumn id="9" xr3:uid="{00000000-0010-0000-0100-000009000000}" uniqueName="9" name="2001" queryTableFieldId="44" dataDxfId="24" dataCellStyle="Standard_Tabelle1"/>
    <tableColumn id="10" xr3:uid="{00000000-0010-0000-0100-00000A000000}" uniqueName="10" name="2002" queryTableFieldId="45" dataDxfId="23" dataCellStyle="Standard_Tabelle1"/>
    <tableColumn id="11" xr3:uid="{00000000-0010-0000-0100-00000B000000}" uniqueName="11" name="2003" queryTableFieldId="46" dataDxfId="22" dataCellStyle="Standard_Tabelle1"/>
    <tableColumn id="12" xr3:uid="{00000000-0010-0000-0100-00000C000000}" uniqueName="12" name="2004" queryTableFieldId="47" dataDxfId="21" dataCellStyle="Standard_Tabelle1"/>
    <tableColumn id="13" xr3:uid="{00000000-0010-0000-0100-00000D000000}" uniqueName="13" name="2005" queryTableFieldId="48" dataDxfId="20" dataCellStyle="Standard_Tabelle1"/>
    <tableColumn id="14" xr3:uid="{00000000-0010-0000-0100-00000E000000}" uniqueName="14" name="2006" queryTableFieldId="49" dataDxfId="19" dataCellStyle="Standard_Tabelle1"/>
    <tableColumn id="15" xr3:uid="{00000000-0010-0000-0100-00000F000000}" uniqueName="15" name="2007" queryTableFieldId="50" dataDxfId="18" dataCellStyle="Standard_Tabelle1"/>
    <tableColumn id="16" xr3:uid="{00000000-0010-0000-0100-000010000000}" uniqueName="16" name="2008" queryTableFieldId="51" dataDxfId="17" dataCellStyle="Standard_Tabelle1"/>
    <tableColumn id="17" xr3:uid="{00000000-0010-0000-0100-000011000000}" uniqueName="17" name="2009" queryTableFieldId="52" dataDxfId="16" dataCellStyle="Standard_Tabelle1"/>
    <tableColumn id="18" xr3:uid="{00000000-0010-0000-0100-000012000000}" uniqueName="18" name="2010" queryTableFieldId="53" dataDxfId="15" dataCellStyle="Standard_Tabelle1"/>
    <tableColumn id="19" xr3:uid="{00000000-0010-0000-0100-000013000000}" uniqueName="19" name="2011" queryTableFieldId="54" dataDxfId="14" dataCellStyle="Standard_Tabelle1"/>
    <tableColumn id="20" xr3:uid="{00000000-0010-0000-0100-000014000000}" uniqueName="20" name="2012" queryTableFieldId="55" dataDxfId="13" dataCellStyle="Standard_Tabelle1"/>
    <tableColumn id="21" xr3:uid="{00000000-0010-0000-0100-000015000000}" uniqueName="21" name="2013" queryTableFieldId="56" dataDxfId="12" dataCellStyle="Standard_Tabelle1"/>
    <tableColumn id="22" xr3:uid="{00000000-0010-0000-0100-000016000000}" uniqueName="22" name="2014" queryTableFieldId="57" dataDxfId="11" dataCellStyle="Standard_Tabelle1"/>
    <tableColumn id="23" xr3:uid="{00000000-0010-0000-0100-000017000000}" uniqueName="23" name="2015" queryTableFieldId="79" dataDxfId="10" dataCellStyle="Standard_Tabelle1"/>
    <tableColumn id="24" xr3:uid="{00000000-0010-0000-0100-000018000000}" uniqueName="24" name="2016" queryTableFieldId="80" dataDxfId="9" dataCellStyle="Standard_Tabelle1"/>
    <tableColumn id="25" xr3:uid="{00000000-0010-0000-0100-000019000000}" uniqueName="25" name="2017" queryTableFieldId="81" dataDxfId="8" dataCellStyle="Standard_Tabelle1"/>
    <tableColumn id="26" xr3:uid="{00000000-0010-0000-0100-00001A000000}" uniqueName="26" name="2018" queryTableFieldId="82" dataDxfId="7" dataCellStyle="Standard_Tabelle1"/>
    <tableColumn id="27" xr3:uid="{00000000-0010-0000-0100-00001B000000}" uniqueName="27" name="2019" queryTableFieldId="83" dataDxfId="6" dataCellStyle="Standard_Tabelle1"/>
    <tableColumn id="28" xr3:uid="{CE567812-FF3C-4867-9D45-B4CAAADA2CA5}" uniqueName="28" name="2020" queryTableFieldId="84" dataDxfId="5" dataCellStyle="Standard_Tabelle1"/>
    <tableColumn id="29" xr3:uid="{25B3A6EC-7452-430C-B601-937B73F0C4BC}" uniqueName="29" name="2021" queryTableFieldId="85" dataDxfId="4" dataCellStyle="Standard_Tabelle1"/>
    <tableColumn id="30" xr3:uid="{336D68B6-DCCD-4F08-97E9-104CBE5EE720}" uniqueName="30" name="2022" queryTableFieldId="86" dataDxfId="3" dataCellStyle="Standard_Tabelle1"/>
    <tableColumn id="31" xr3:uid="{EDBB708A-EEC9-4D43-BABD-C4D3F9ED13DF}" uniqueName="31" name="2023" queryTableFieldId="87" dataDxfId="2" dataCellStyle="Standard_Tabelle1"/>
    <tableColumn id="32" xr3:uid="{A3E3E067-5BED-46EF-BF4C-FD2C179D6E32}" uniqueName="32" name="2024" queryTableFieldId="88" dataDxfId="1" dataCellStyle="Standard_Tabelle1"/>
    <tableColumn id="33" xr3:uid="{0C1C0B74-84D0-4923-A663-9888D31070EC}" uniqueName="33" name="2025" queryTableFieldId="89" dataDxfId="0" dataCellStyle="Standard_Tabelle1"/>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elle_Abfrage_von_MS_Access_Database4" displayName="Tabelle_Abfrage_von_MS_Access_Database4" ref="A2:F31" tableType="queryTable" totalsRowShown="0">
  <autoFilter ref="A2:F31" xr:uid="{00000000-0009-0000-0100-000003000000}"/>
  <sortState xmlns:xlrd2="http://schemas.microsoft.com/office/spreadsheetml/2017/richdata2" ref="A3:F73">
    <sortCondition ref="A3:A73"/>
  </sortState>
  <tableColumns count="6">
    <tableColumn id="1" xr3:uid="{00000000-0010-0000-0200-000001000000}" uniqueName="1" name="LAND" queryTableFieldId="1" dataDxfId="76"/>
    <tableColumn id="2" xr3:uid="{00000000-0010-0000-0200-000002000000}" uniqueName="2" name="Partnerland" queryTableFieldId="2"/>
    <tableColumn id="5" xr3:uid="{00000000-0010-0000-0200-000005000000}" uniqueName="5" name="Wert" queryTableFieldId="5" dataDxfId="75">
      <calculatedColumnFormula>VALUE(Tabelle_Abfrage_von_MS_Access_Database4[[#This Row],[LAND]])</calculatedColumnFormula>
    </tableColumn>
    <tableColumn id="3" xr3:uid="{00000000-0010-0000-0200-000003000000}" uniqueName="3" name="Spalte1" queryTableFieldId="3" dataDxfId="74"/>
    <tableColumn id="4" xr3:uid="{00000000-0010-0000-0200-000004000000}" uniqueName="4" name="Auswahl" queryTableFieldId="4" dataDxfId="73">
      <calculatedColumnFormula>LOOKUP(Tabelle_Abfrage_von_MS_Access_Database4[[#This Row],[Spalte1]],Tabelle_Abfrage_von_MS_Access_Database4[Wert],Tabelle_Abfrage_von_MS_Access_Database4[Partnerland])</calculatedColumnFormula>
    </tableColumn>
    <tableColumn id="6" xr3:uid="{00000000-0010-0000-0200-000006000000}" uniqueName="6" name="Spalte2" queryTableFieldId="6" dataDxfId="72">
      <calculatedColumnFormula>Tabelle_Abfrage_von_MS_Access_Database4[[#This Row],[LAND]]</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elle_Abfrage_von_MS_Access_Database_1" displayName="Tabelle_Abfrage_von_MS_Access_Database_1" ref="H2:J33" tableType="queryTable" totalsRowShown="0" headerRowDxfId="71">
  <autoFilter ref="H2:J33" xr:uid="{00000000-0009-0000-0100-000004000000}"/>
  <tableColumns count="3">
    <tableColumn id="1" xr3:uid="{00000000-0010-0000-0300-000001000000}" uniqueName="1" name="Jahr" queryTableFieldId="1" dataDxfId="70"/>
    <tableColumn id="3" xr3:uid="{00000000-0010-0000-0300-000003000000}" uniqueName="3" name="Status" queryTableFieldId="4" dataDxfId="69"/>
    <tableColumn id="2" xr3:uid="{00000000-0010-0000-0300-000002000000}" uniqueName="2" name="Auswahl" queryTableFieldId="2"/>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elle_Abfrage_von_MS_Access_Database_16" displayName="Tabelle_Abfrage_von_MS_Access_Database_16" ref="M2:O27" tableType="queryTable" totalsRowShown="0" headerRowDxfId="68">
  <autoFilter ref="M2:O27" xr:uid="{00000000-0009-0000-0100-000005000000}"/>
  <tableColumns count="3">
    <tableColumn id="1" xr3:uid="{00000000-0010-0000-0400-000001000000}" uniqueName="1" name="Jahr" queryTableFieldId="1" dataDxfId="67"/>
    <tableColumn id="3" xr3:uid="{00000000-0010-0000-0400-000003000000}" uniqueName="3" name="Status" queryTableFieldId="4" dataDxfId="66"/>
    <tableColumn id="2" xr3:uid="{00000000-0010-0000-0400-000002000000}" uniqueName="2" name="Auswahl" queryTableFieldId="2"/>
  </tableColumns>
  <tableStyleInfo name="TableStyleMedium9" showFirstColumn="0" showLastColumn="0" showRowStripes="1" showColumnStripes="0"/>
</table>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bodyPr wrap="none" rtlCol="0"/>
      <a:lstStyle>
        <a:defPPr>
          <a:defRPr sz="800">
            <a:latin typeface="Calibri"/>
          </a:defRPr>
        </a:defPPr>
      </a:lstStyle>
    </a:tx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2.bin"/><Relationship Id="rId4"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Q79"/>
  <sheetViews>
    <sheetView showGridLines="0" tabSelected="1" zoomScaleNormal="100" workbookViewId="0"/>
  </sheetViews>
  <sheetFormatPr baseColWidth="10" defaultColWidth="11.453125" defaultRowHeight="12.5" x14ac:dyDescent="0.25"/>
  <cols>
    <col min="1" max="1" width="4.54296875" style="16" customWidth="1"/>
    <col min="2" max="2" width="25.54296875" style="16" customWidth="1"/>
    <col min="3" max="3" width="10.54296875" style="16" customWidth="1"/>
    <col min="4" max="4" width="16.54296875" style="16" customWidth="1"/>
    <col min="5" max="5" width="7.54296875" style="16" customWidth="1"/>
    <col min="6" max="6" width="12.54296875" style="16" customWidth="1"/>
    <col min="7" max="7" width="4.54296875" style="16" customWidth="1"/>
    <col min="8" max="8" width="25.54296875" style="16" customWidth="1"/>
    <col min="9" max="9" width="10.54296875" style="16" customWidth="1"/>
    <col min="10" max="10" width="15.54296875" style="16" customWidth="1"/>
    <col min="11" max="11" width="7.54296875" style="16" customWidth="1"/>
    <col min="12" max="12" width="12.54296875" style="16" customWidth="1"/>
    <col min="13" max="14" width="11.453125" style="16"/>
    <col min="15" max="15" width="6.453125" style="16" bestFit="1" customWidth="1"/>
    <col min="16" max="16" width="11.453125" style="16"/>
    <col min="17" max="18" width="13.453125" style="16" customWidth="1"/>
    <col min="19" max="16384" width="11.453125" style="16"/>
  </cols>
  <sheetData>
    <row r="1" spans="1:17" ht="4.5" customHeight="1" x14ac:dyDescent="0.25">
      <c r="A1" s="14"/>
      <c r="B1" s="14"/>
      <c r="C1" s="14"/>
      <c r="D1" s="14"/>
      <c r="E1" s="14"/>
      <c r="F1" s="14"/>
      <c r="G1" s="14"/>
      <c r="H1" s="14"/>
      <c r="I1" s="14"/>
      <c r="J1" s="14"/>
      <c r="K1" s="14"/>
      <c r="L1" s="14"/>
      <c r="M1" s="15"/>
      <c r="N1" s="15"/>
      <c r="O1" s="15"/>
      <c r="P1" s="15"/>
      <c r="Q1" s="15"/>
    </row>
    <row r="2" spans="1:17" ht="18" customHeight="1" x14ac:dyDescent="0.35">
      <c r="A2" s="17" t="str">
        <f>Texte!F2</f>
        <v xml:space="preserve">Österreichs Dienstleistungsverkehr - </v>
      </c>
      <c r="B2" s="18"/>
      <c r="C2" s="14"/>
      <c r="D2" s="14"/>
      <c r="E2" s="14"/>
      <c r="F2" s="60" t="str">
        <f>Texte!F5</f>
        <v>für das Jahr</v>
      </c>
      <c r="G2" s="60"/>
      <c r="H2" s="19">
        <f>Auswahl_Jahr</f>
        <v>2025</v>
      </c>
      <c r="I2" s="20" t="str">
        <f>Texte!F8</f>
        <v>Einheit:</v>
      </c>
      <c r="J2" s="21" t="s">
        <v>155</v>
      </c>
      <c r="K2" s="22" t="str">
        <f>IF(Texte!$A$1=1,"Eingang","Credit/Inflows")</f>
        <v>Eingang</v>
      </c>
      <c r="L2" s="22" t="str">
        <f>IF(Texte!$A$1=1,"Ausgang","Debit/Outflows")</f>
        <v>Ausgang</v>
      </c>
    </row>
    <row r="3" spans="1:17" ht="15" customHeight="1" x14ac:dyDescent="0.35">
      <c r="A3" s="23" t="str">
        <f>IF(AND(VALUE(VON)&lt;=Auswahl_Jahr,VALUE(BIS)&gt;=Auswahl_Jahr),Dropdown!S14 &amp; VON &amp; Dropdown!T14 &amp; BIS &amp; "; " &amp; Dropdown!S8 &amp; Dropdown!U14 &amp; Auswahl_Jahr,Dropdown!S14 &amp; VON &amp; Dropdown!T14 &amp; BIS)</f>
        <v>Zeitreihe verfügbar von 1995 bis 2025; vorläufige Daten für das Jahr 2025</v>
      </c>
      <c r="B3" s="24"/>
      <c r="C3" s="25"/>
      <c r="D3" s="25"/>
      <c r="E3" s="25"/>
      <c r="F3" s="25"/>
      <c r="G3" s="25"/>
      <c r="H3" s="26"/>
      <c r="I3" s="25"/>
      <c r="J3" s="25"/>
      <c r="K3" s="25"/>
      <c r="L3" s="25"/>
    </row>
    <row r="5" spans="1:17" ht="13.5" x14ac:dyDescent="0.35">
      <c r="B5" s="27" t="str">
        <f>IF(Texte!$A$1=1,"Eingang " &amp; Einheit_Text,"Credit/Inflows " &amp; Einheit_Text)</f>
        <v>Eingang in Mio. Euro</v>
      </c>
      <c r="C5" s="28">
        <f>LOOKUP(Auswahl_Jahr,Absolut_Grafik_1_2!2:2,Absolut_Grafik_1_2!3:3)</f>
        <v>22238</v>
      </c>
      <c r="D5" s="28">
        <f>LOOKUP(Auswahl_Jahr,Absolut_Grafik_1_2!2:2,Absolut_Grafik_1_2!3:3)</f>
        <v>22238</v>
      </c>
      <c r="E5" s="28"/>
      <c r="F5" s="29" t="str">
        <f>IF(Texte!$A$1=1,"Österreichs Eingänge aus der Welt " &amp; Einheit_Text,"Austria's inflows from world " &amp; Einheit_Text)</f>
        <v>Österreichs Eingänge aus der Welt in Mio. Euro</v>
      </c>
      <c r="G5" s="29"/>
      <c r="H5" s="30"/>
      <c r="I5" s="28">
        <f>LOOKUP(Auswahl_Jahr,Absolut_Grafik_1_2!2:2,Absolut_Grafik_1_2!4:4)</f>
        <v>93443</v>
      </c>
      <c r="J5" s="28">
        <f>LOOKUP(Auswahl_Jahr,Absolut_Grafik_1_2!2:2,Absolut_Grafik_1_2!4:4)</f>
        <v>93443</v>
      </c>
      <c r="K5" s="28"/>
    </row>
    <row r="6" spans="1:17" ht="13.5" x14ac:dyDescent="0.35">
      <c r="B6" s="27" t="str">
        <f>IF(Texte!$A$1=1,"Ausgang " &amp; Einheit_Text,"Debit/Outflows " &amp; Einheit_Text)</f>
        <v>Ausgang in Mio. Euro</v>
      </c>
      <c r="C6" s="28">
        <f>LOOKUP(Auswahl_Jahr,Absolut_Grafik_1_2!12:12,Absolut_Grafik_1_2!14:14)</f>
        <v>13906</v>
      </c>
      <c r="D6" s="28">
        <f>LOOKUP(Auswahl_Jahr,Absolut_Grafik_1_2!12:12,Absolut_Grafik_1_2!14:14)</f>
        <v>13906</v>
      </c>
      <c r="E6" s="28"/>
      <c r="F6" s="29" t="str">
        <f>IF(Texte!$A$1=1,"Österreichs Ausgänge in die Welt " &amp; Einheit_Text,"Austria's outflows to world " &amp; Einheit_Text)</f>
        <v>Österreichs Ausgänge in die Welt in Mio. Euro</v>
      </c>
      <c r="H6" s="30"/>
      <c r="I6" s="28">
        <f>LOOKUP(Auswahl_Jahr,Absolut_Grafik_1_2!12:12,Absolut_Grafik_1_2!15:15)</f>
        <v>86755</v>
      </c>
      <c r="J6" s="28">
        <f>LOOKUP(Auswahl_Jahr,Absolut_Grafik_1_2!12:12,Absolut_Grafik_1_2!15:15)</f>
        <v>86755</v>
      </c>
      <c r="K6" s="28"/>
    </row>
    <row r="7" spans="1:17" ht="13.5" x14ac:dyDescent="0.35">
      <c r="A7" s="31"/>
      <c r="B7" s="27" t="str">
        <f>IF(Texte!$A$1=2,IF(D7&gt;0,"Trade balance " &amp; Einheit_Text,IF(D7&lt;0,"Trade balance " &amp; Einheit_Text,"Trade balance " &amp; Einheit_Text)),IF(D7&gt;0,"Eingangsüberschuss " &amp; Einheit_Text,IF(D7&lt;0,"Ausgangsüberschuss " &amp; Einheit_Text,"Handelsbilanzsaldo " &amp; Einheit_Text)))</f>
        <v>Eingangsüberschuss in Mio. Euro</v>
      </c>
      <c r="C7" s="32">
        <f>C5-C6</f>
        <v>8332</v>
      </c>
      <c r="D7" s="33">
        <f>D5-D6</f>
        <v>8332</v>
      </c>
      <c r="E7" s="32"/>
      <c r="F7" s="29" t="str">
        <f>IF(Texte!$A$1=2,IF(I7&gt;0,"Trade balance " &amp; Einheit_Text,IF(I7&lt;0,"Trade balance " &amp; Einheit_Text,"Trade balance " &amp; Einheit_Text)),IF(I7&gt;0,"Eingangsüberschuss " &amp; Einheit_Text,IF(I7&lt;0,"Ausgangsüberschuss " &amp; Einheit_Text,"Handelsbilanzsaldo " &amp; Einheit_Text)))</f>
        <v>Eingangsüberschuss in Mio. Euro</v>
      </c>
      <c r="I7" s="32">
        <f>I5-I6</f>
        <v>6688</v>
      </c>
      <c r="J7" s="33">
        <f>J5-J6</f>
        <v>6688</v>
      </c>
      <c r="K7" s="32"/>
    </row>
    <row r="26" spans="1:12" s="29" customFormat="1" ht="15" customHeight="1" x14ac:dyDescent="0.35">
      <c r="E26" s="34" t="str">
        <f>IF(Texte!$A$1=2,"Share (%)","Anteil (%)")</f>
        <v>Anteil (%)</v>
      </c>
      <c r="F26" s="34"/>
      <c r="K26" s="34" t="str">
        <f>IF(Texte!$A$1=2,"Share (%)","Anteil (%)")</f>
        <v>Anteil (%)</v>
      </c>
      <c r="L26" s="34"/>
    </row>
    <row r="27" spans="1:12" s="29" customFormat="1" ht="15.5" x14ac:dyDescent="0.35">
      <c r="A27" s="35" t="str">
        <f>IF(Texte!$A$1=2,"Most important inflows positions " &amp; Einheit_Text,"Die 10 wichtigsten Eingangspositionen " &amp; Einheit_Text)</f>
        <v>Die 10 wichtigsten Eingangspositionen in Mio. Euro</v>
      </c>
      <c r="E27" s="34" t="str">
        <f>IF(Texte!$A$1=2,"of Total","an Gesamt")</f>
        <v>an Gesamt</v>
      </c>
      <c r="F27" s="34" t="str">
        <f>IF(Texte!$A$1=2,"Trend","Entwicklung")</f>
        <v>Entwicklung</v>
      </c>
      <c r="G27" s="35" t="str">
        <f>IF(Texte!$A$1=2,"Most important outflows positions " &amp; Einheit_Text,"Die 10 wichtigsten Ausgangspositionen " &amp; Einheit_Text)</f>
        <v>Die 10 wichtigsten Ausgangspositionen in Mio. Euro</v>
      </c>
      <c r="K27" s="34" t="str">
        <f>IF(Texte!$A$1=2,"of Total","an Gesamt")</f>
        <v>an Gesamt</v>
      </c>
      <c r="L27" s="34" t="str">
        <f>IF(Texte!$A$1=2,"Trend","Entwicklung")</f>
        <v>Entwicklung</v>
      </c>
    </row>
    <row r="28" spans="1:12" s="29" customFormat="1" ht="13.5" x14ac:dyDescent="0.35">
      <c r="A28" s="36">
        <f>Top10_Export_Import!I3</f>
        <v>1</v>
      </c>
      <c r="B28" s="36" t="str">
        <f>Top10_Export_Import!J3</f>
        <v>Privatreisen</v>
      </c>
      <c r="C28" s="37">
        <f>Top10_Export_Import!K3</f>
        <v>22238</v>
      </c>
      <c r="D28" s="37">
        <f>C28</f>
        <v>22238</v>
      </c>
      <c r="E28" s="38">
        <f>D28/$I$5</f>
        <v>0.23798465374613401</v>
      </c>
      <c r="F28" s="37"/>
      <c r="G28" s="36">
        <f>Top10_Export_Import!I18</f>
        <v>1</v>
      </c>
      <c r="H28" s="39" t="str">
        <f>Top10_Export_Import!J18</f>
        <v>Frachten</v>
      </c>
      <c r="I28" s="37">
        <f>Top10_Export_Import!K18</f>
        <v>16581</v>
      </c>
      <c r="J28" s="37">
        <f>I28</f>
        <v>16581</v>
      </c>
      <c r="K28" s="38">
        <f>J28/$I$6</f>
        <v>0.19112443086853784</v>
      </c>
      <c r="L28" s="36"/>
    </row>
    <row r="29" spans="1:12" s="29" customFormat="1" ht="13.5" x14ac:dyDescent="0.35">
      <c r="A29" s="40">
        <f>Top10_Export_Import!I4</f>
        <v>2</v>
      </c>
      <c r="B29" s="29" t="str">
        <f>Top10_Export_Import!J4</f>
        <v>Frachten</v>
      </c>
      <c r="C29" s="28">
        <f>Top10_Export_Import!K4</f>
        <v>13707</v>
      </c>
      <c r="D29" s="28">
        <f t="shared" ref="D29:D39" si="0">C29</f>
        <v>13707</v>
      </c>
      <c r="E29" s="41">
        <f t="shared" ref="E29:E39" si="1">D29/$I$5</f>
        <v>0.14668835546803935</v>
      </c>
      <c r="F29" s="42"/>
      <c r="G29" s="29">
        <f>Top10_Export_Import!I19</f>
        <v>2</v>
      </c>
      <c r="H29" s="43" t="str">
        <f>Top10_Export_Import!J19</f>
        <v>Privatreisen</v>
      </c>
      <c r="I29" s="28">
        <f>Top10_Export_Import!K19</f>
        <v>13906</v>
      </c>
      <c r="J29" s="28">
        <f t="shared" ref="J29:J39" si="2">I29</f>
        <v>13906</v>
      </c>
      <c r="K29" s="41">
        <f t="shared" ref="K29:K39" si="3">J29/$I$6</f>
        <v>0.16029047317157513</v>
      </c>
    </row>
    <row r="30" spans="1:12" s="29" customFormat="1" ht="13.5" x14ac:dyDescent="0.35">
      <c r="A30" s="36">
        <f>Top10_Export_Import!I5</f>
        <v>3</v>
      </c>
      <c r="B30" s="36" t="str">
        <f>Top10_Export_Import!J5</f>
        <v>Technische, Handels- und sonstige unternehmensbezogene Dienstleistungen</v>
      </c>
      <c r="C30" s="37">
        <f>Top10_Export_Import!K5</f>
        <v>13321</v>
      </c>
      <c r="D30" s="37">
        <f t="shared" si="0"/>
        <v>13321</v>
      </c>
      <c r="E30" s="38">
        <f t="shared" si="1"/>
        <v>0.14255749494344144</v>
      </c>
      <c r="F30" s="37"/>
      <c r="G30" s="36">
        <f>Top10_Export_Import!I20</f>
        <v>3</v>
      </c>
      <c r="H30" s="39" t="str">
        <f>Top10_Export_Import!J20</f>
        <v>Technische, Handels- und sonstige unternehmensbezogene Dienstleistungen</v>
      </c>
      <c r="I30" s="37">
        <f>Top10_Export_Import!K20</f>
        <v>13261</v>
      </c>
      <c r="J30" s="37">
        <f t="shared" si="2"/>
        <v>13261</v>
      </c>
      <c r="K30" s="38">
        <f t="shared" si="3"/>
        <v>0.15285574318483083</v>
      </c>
      <c r="L30" s="36"/>
    </row>
    <row r="31" spans="1:12" s="29" customFormat="1" ht="13.5" x14ac:dyDescent="0.35">
      <c r="A31" s="40">
        <f>Top10_Export_Import!I6</f>
        <v>4</v>
      </c>
      <c r="B31" s="29" t="str">
        <f>Top10_Export_Import!J6</f>
        <v>EDV-Dienstleistungen</v>
      </c>
      <c r="C31" s="28">
        <f>Top10_Export_Import!K6</f>
        <v>10783</v>
      </c>
      <c r="D31" s="28">
        <f t="shared" si="0"/>
        <v>10783</v>
      </c>
      <c r="E31" s="41">
        <f t="shared" si="1"/>
        <v>0.1153965519086502</v>
      </c>
      <c r="F31" s="42"/>
      <c r="G31" s="29">
        <f>Top10_Export_Import!I21</f>
        <v>4</v>
      </c>
      <c r="H31" s="43" t="str">
        <f>Top10_Export_Import!J21</f>
        <v>EDV-Dienstleistungen</v>
      </c>
      <c r="I31" s="28">
        <f>Top10_Export_Import!K21</f>
        <v>10584</v>
      </c>
      <c r="J31" s="28">
        <f t="shared" si="2"/>
        <v>10584</v>
      </c>
      <c r="K31" s="41">
        <f t="shared" si="3"/>
        <v>0.12199873206155265</v>
      </c>
    </row>
    <row r="32" spans="1:12" s="29" customFormat="1" ht="13.5" x14ac:dyDescent="0.35">
      <c r="A32" s="36">
        <f>Top10_Export_Import!I7</f>
        <v>5</v>
      </c>
      <c r="B32" s="36" t="str">
        <f>Top10_Export_Import!J7</f>
        <v>Rechts- und Wirtschaftsdienste, Werbung und Marktforschung</v>
      </c>
      <c r="C32" s="37">
        <f>Top10_Export_Import!K7</f>
        <v>5313</v>
      </c>
      <c r="D32" s="37">
        <f t="shared" si="0"/>
        <v>5313</v>
      </c>
      <c r="E32" s="38">
        <f t="shared" si="1"/>
        <v>5.6858191624840813E-2</v>
      </c>
      <c r="F32" s="37"/>
      <c r="G32" s="36">
        <f>Top10_Export_Import!I22</f>
        <v>5</v>
      </c>
      <c r="H32" s="39" t="str">
        <f>Top10_Export_Import!J22</f>
        <v>Rechts- und Wirtschaftsdienste, Werbung und Marktforschung</v>
      </c>
      <c r="I32" s="37">
        <f>Top10_Export_Import!K22</f>
        <v>8231</v>
      </c>
      <c r="J32" s="37">
        <f t="shared" si="2"/>
        <v>8231</v>
      </c>
      <c r="K32" s="38">
        <f t="shared" si="3"/>
        <v>9.4876376001383211E-2</v>
      </c>
      <c r="L32" s="36"/>
    </row>
    <row r="33" spans="1:12" s="29" customFormat="1" ht="13.5" x14ac:dyDescent="0.35">
      <c r="A33" s="40">
        <f>Top10_Export_Import!I8</f>
        <v>6</v>
      </c>
      <c r="B33" s="29" t="str">
        <f>Top10_Export_Import!J8</f>
        <v>Geschäftsreisen</v>
      </c>
      <c r="C33" s="28">
        <f>Top10_Export_Import!K8</f>
        <v>3664</v>
      </c>
      <c r="D33" s="28">
        <f t="shared" si="0"/>
        <v>3664</v>
      </c>
      <c r="E33" s="41">
        <f t="shared" si="1"/>
        <v>3.9211069850069023E-2</v>
      </c>
      <c r="F33" s="42"/>
      <c r="G33" s="29">
        <f>Top10_Export_Import!I23</f>
        <v>6</v>
      </c>
      <c r="H33" s="43" t="str">
        <f>Top10_Export_Import!J23</f>
        <v>Gebühren für Lohnveredelung</v>
      </c>
      <c r="I33" s="28">
        <f>Top10_Export_Import!K23</f>
        <v>3543</v>
      </c>
      <c r="J33" s="28">
        <f t="shared" si="2"/>
        <v>3543</v>
      </c>
      <c r="K33" s="41">
        <f t="shared" si="3"/>
        <v>4.0839144717883698E-2</v>
      </c>
    </row>
    <row r="34" spans="1:12" s="29" customFormat="1" ht="13.5" x14ac:dyDescent="0.35">
      <c r="A34" s="36">
        <f>Top10_Export_Import!I9</f>
        <v>7</v>
      </c>
      <c r="B34" s="36" t="str">
        <f>Top10_Export_Import!J9</f>
        <v>Forschungs- und Entwicklungsleistungen</v>
      </c>
      <c r="C34" s="37">
        <f>Top10_Export_Import!K9</f>
        <v>3601</v>
      </c>
      <c r="D34" s="37">
        <f t="shared" si="0"/>
        <v>3601</v>
      </c>
      <c r="E34" s="38">
        <f t="shared" si="1"/>
        <v>3.8536862044240873E-2</v>
      </c>
      <c r="F34" s="37"/>
      <c r="G34" s="36">
        <f>Top10_Export_Import!I24</f>
        <v>7</v>
      </c>
      <c r="H34" s="39" t="str">
        <f>Top10_Export_Import!J24</f>
        <v>Patente, Lizenzen, Franchisen</v>
      </c>
      <c r="I34" s="37">
        <f>Top10_Export_Import!K24</f>
        <v>2314</v>
      </c>
      <c r="J34" s="37">
        <f t="shared" si="2"/>
        <v>2314</v>
      </c>
      <c r="K34" s="38">
        <f t="shared" si="3"/>
        <v>2.6672814247017462E-2</v>
      </c>
      <c r="L34" s="36"/>
    </row>
    <row r="35" spans="1:12" s="29" customFormat="1" ht="13.5" x14ac:dyDescent="0.35">
      <c r="A35" s="40">
        <f>Top10_Export_Import!I10</f>
        <v>8</v>
      </c>
      <c r="B35" s="29" t="str">
        <f>Top10_Export_Import!J10</f>
        <v>Transporthilfsleistungen</v>
      </c>
      <c r="C35" s="28">
        <f>Top10_Export_Import!K10</f>
        <v>3014</v>
      </c>
      <c r="D35" s="28">
        <f t="shared" si="0"/>
        <v>3014</v>
      </c>
      <c r="E35" s="41">
        <f t="shared" si="1"/>
        <v>3.2254957567715077E-2</v>
      </c>
      <c r="F35" s="42"/>
      <c r="G35" s="29">
        <f>Top10_Export_Import!I25</f>
        <v>8</v>
      </c>
      <c r="H35" s="43" t="str">
        <f>Top10_Export_Import!J25</f>
        <v>Geschäftsreisen</v>
      </c>
      <c r="I35" s="28">
        <f>Top10_Export_Import!K25</f>
        <v>2226</v>
      </c>
      <c r="J35" s="28">
        <f t="shared" si="2"/>
        <v>2226</v>
      </c>
      <c r="K35" s="41">
        <f t="shared" si="3"/>
        <v>2.5658463489136071E-2</v>
      </c>
    </row>
    <row r="36" spans="1:12" s="29" customFormat="1" ht="13.5" x14ac:dyDescent="0.35">
      <c r="A36" s="36">
        <f>Top10_Export_Import!I11</f>
        <v>9</v>
      </c>
      <c r="B36" s="36" t="str">
        <f>Top10_Export_Import!J11</f>
        <v>Internationaler Personentransport</v>
      </c>
      <c r="C36" s="37">
        <f>Top10_Export_Import!K11</f>
        <v>2647</v>
      </c>
      <c r="D36" s="37">
        <f t="shared" si="0"/>
        <v>2647</v>
      </c>
      <c r="E36" s="38">
        <f t="shared" si="1"/>
        <v>2.8327429555986001E-2</v>
      </c>
      <c r="F36" s="37"/>
      <c r="G36" s="36">
        <f>Top10_Export_Import!I26</f>
        <v>9</v>
      </c>
      <c r="H36" s="39" t="str">
        <f>Top10_Export_Import!J26</f>
        <v>Internationaler Personentransport</v>
      </c>
      <c r="I36" s="37">
        <f>Top10_Export_Import!K26</f>
        <v>1826</v>
      </c>
      <c r="J36" s="37">
        <f t="shared" si="2"/>
        <v>1826</v>
      </c>
      <c r="K36" s="38">
        <f t="shared" si="3"/>
        <v>2.1047778226038844E-2</v>
      </c>
      <c r="L36" s="36"/>
    </row>
    <row r="37" spans="1:12" s="29" customFormat="1" ht="13.5" x14ac:dyDescent="0.35">
      <c r="A37" s="40">
        <f>Top10_Export_Import!I12</f>
        <v>10</v>
      </c>
      <c r="B37" s="29" t="str">
        <f>Top10_Export_Import!J12</f>
        <v>Gebühren für Lohnveredelung</v>
      </c>
      <c r="C37" s="28">
        <f>Top10_Export_Import!K12</f>
        <v>2337</v>
      </c>
      <c r="D37" s="28">
        <f t="shared" si="0"/>
        <v>2337</v>
      </c>
      <c r="E37" s="41">
        <f t="shared" si="1"/>
        <v>2.500989908286335E-2</v>
      </c>
      <c r="F37" s="42"/>
      <c r="G37" s="29">
        <f>Top10_Export_Import!I27</f>
        <v>10</v>
      </c>
      <c r="H37" s="43" t="str">
        <f>Top10_Export_Import!J27</f>
        <v>Forschungs- und Entwicklungsleistungen</v>
      </c>
      <c r="I37" s="28">
        <f>Top10_Export_Import!K27</f>
        <v>1821</v>
      </c>
      <c r="J37" s="28">
        <f t="shared" si="2"/>
        <v>1821</v>
      </c>
      <c r="K37" s="41">
        <f t="shared" si="3"/>
        <v>2.0990144660250131E-2</v>
      </c>
    </row>
    <row r="38" spans="1:12" s="29" customFormat="1" ht="5.15" customHeight="1" x14ac:dyDescent="0.35">
      <c r="C38" s="28"/>
      <c r="D38" s="28"/>
      <c r="E38" s="41"/>
      <c r="F38" s="42"/>
      <c r="H38" s="43"/>
      <c r="I38" s="28"/>
      <c r="J38" s="28"/>
      <c r="K38" s="41"/>
    </row>
    <row r="39" spans="1:12" s="29" customFormat="1" ht="13.5" x14ac:dyDescent="0.35">
      <c r="A39" s="44">
        <f>Top10_Export_Import!I14</f>
        <v>1</v>
      </c>
      <c r="B39" s="44" t="str">
        <f>Top10_Export_Import!J14</f>
        <v>Privatreisen</v>
      </c>
      <c r="C39" s="42">
        <f>Top10_Export_Import!K14</f>
        <v>22238</v>
      </c>
      <c r="D39" s="42">
        <f t="shared" si="0"/>
        <v>22238</v>
      </c>
      <c r="E39" s="41">
        <f t="shared" si="1"/>
        <v>0.23798465374613401</v>
      </c>
      <c r="F39" s="42"/>
      <c r="G39" s="44">
        <f>Top10_Export_Import!I29</f>
        <v>2</v>
      </c>
      <c r="H39" s="45" t="str">
        <f>Top10_Export_Import!J29</f>
        <v>Privatreisen</v>
      </c>
      <c r="I39" s="42">
        <f>Top10_Export_Import!K29</f>
        <v>13906</v>
      </c>
      <c r="J39" s="42">
        <f t="shared" si="2"/>
        <v>13906</v>
      </c>
      <c r="K39" s="41">
        <f t="shared" si="3"/>
        <v>0.16029047317157513</v>
      </c>
    </row>
    <row r="40" spans="1:12" s="29" customFormat="1" ht="13.5" x14ac:dyDescent="0.35"/>
    <row r="41" spans="1:12" s="29" customFormat="1" ht="4.5" customHeight="1" x14ac:dyDescent="0.35">
      <c r="A41" s="36"/>
      <c r="B41" s="36"/>
      <c r="C41" s="36"/>
      <c r="D41" s="36"/>
      <c r="E41" s="36"/>
      <c r="F41" s="36"/>
      <c r="G41" s="36"/>
      <c r="H41" s="36"/>
      <c r="I41" s="36"/>
      <c r="J41" s="36"/>
      <c r="K41" s="36"/>
      <c r="L41" s="36"/>
    </row>
    <row r="42" spans="1:12" s="29" customFormat="1" ht="18" customHeight="1" x14ac:dyDescent="0.35">
      <c r="A42" s="36"/>
      <c r="B42" s="36"/>
      <c r="C42" s="36"/>
      <c r="D42" s="36"/>
      <c r="E42" s="36"/>
      <c r="F42" s="36"/>
      <c r="G42" s="36"/>
      <c r="H42" s="36"/>
      <c r="I42" s="36"/>
      <c r="J42" s="36"/>
      <c r="K42" s="36"/>
      <c r="L42" s="36"/>
    </row>
    <row r="43" spans="1:12" s="29" customFormat="1" ht="15" customHeight="1" x14ac:dyDescent="0.35">
      <c r="A43" s="61" t="str">
        <f>IF(Texte!$A$1=2,"Index - basis","Index Basisjahr")</f>
        <v>Index Basisjahr</v>
      </c>
      <c r="B43" s="61" t="s">
        <v>45</v>
      </c>
      <c r="C43" s="46">
        <f>Basis_Jahr</f>
        <v>2025</v>
      </c>
      <c r="D43" s="47" t="str">
        <f>"=100"</f>
        <v>=100</v>
      </c>
      <c r="E43" s="48"/>
      <c r="F43" s="49"/>
      <c r="G43" s="25"/>
      <c r="H43" s="49"/>
      <c r="I43" s="49"/>
      <c r="J43" s="49"/>
      <c r="K43" s="49"/>
      <c r="L43" s="49"/>
    </row>
    <row r="44" spans="1:12" s="29" customFormat="1" ht="15" customHeight="1" x14ac:dyDescent="0.35">
      <c r="A44" s="16"/>
      <c r="B44" s="16"/>
      <c r="C44" s="16"/>
      <c r="D44" s="16"/>
      <c r="E44" s="16"/>
      <c r="F44" s="16"/>
      <c r="G44" s="16"/>
    </row>
    <row r="45" spans="1:12" s="29" customFormat="1" ht="13.5" x14ac:dyDescent="0.35">
      <c r="A45" s="16"/>
      <c r="B45" s="16"/>
      <c r="C45" s="16"/>
      <c r="D45" s="16"/>
      <c r="E45" s="16"/>
      <c r="F45" s="16"/>
      <c r="G45" s="16"/>
    </row>
    <row r="46" spans="1:12" s="29" customFormat="1" ht="13.5" x14ac:dyDescent="0.35">
      <c r="A46" s="16"/>
      <c r="B46" s="16"/>
      <c r="C46" s="16"/>
      <c r="D46" s="16"/>
      <c r="E46" s="16"/>
      <c r="F46" s="16"/>
      <c r="G46" s="16"/>
    </row>
    <row r="64" spans="2:4" ht="13.5" x14ac:dyDescent="0.35">
      <c r="B64" s="29"/>
      <c r="D64" s="29"/>
    </row>
    <row r="66" spans="1:7" ht="13.5" x14ac:dyDescent="0.35">
      <c r="A66" s="50" t="str">
        <f>IF(Texte!$A$1=1,"Quelle: OeNB, Statistik Austria","Source: OeNB, Statistik Austria")</f>
        <v>Quelle: OeNB, Statistik Austria</v>
      </c>
      <c r="B66" s="29"/>
      <c r="C66" s="29"/>
      <c r="D66" s="29"/>
      <c r="E66" s="29"/>
      <c r="F66" s="29"/>
      <c r="G66" s="29"/>
    </row>
    <row r="67" spans="1:7" ht="13.5" x14ac:dyDescent="0.35">
      <c r="A67" s="29"/>
      <c r="B67" s="29"/>
      <c r="C67" s="29"/>
      <c r="D67" s="29"/>
      <c r="E67" s="29"/>
      <c r="F67" s="29"/>
      <c r="G67" s="29"/>
    </row>
    <row r="68" spans="1:7" ht="13.5" x14ac:dyDescent="0.35">
      <c r="A68" s="44" t="str">
        <f>Metadata1</f>
        <v>Infos zum Internationalen Dienstleistungsverkehr:</v>
      </c>
      <c r="B68" s="29"/>
      <c r="C68" s="29"/>
      <c r="D68" s="29"/>
      <c r="E68" s="29"/>
      <c r="F68" s="29"/>
      <c r="G68" s="29"/>
    </row>
    <row r="69" spans="1:7" ht="13.5" x14ac:dyDescent="0.35">
      <c r="A69" s="29" t="str">
        <f>Metadata2</f>
        <v>Der internationale Dienstleistungsverkehr ist für die österreichische Wirtschaftsentwicklung von entscheidender Bedeutung. Nicht nur ist Österreich ein beliebtes</v>
      </c>
      <c r="B69" s="29"/>
      <c r="C69" s="29"/>
      <c r="D69" s="29"/>
      <c r="E69" s="29"/>
      <c r="F69" s="29"/>
      <c r="G69" s="29"/>
    </row>
    <row r="70" spans="1:7" ht="13.5" x14ac:dyDescent="0.35">
      <c r="A70" s="29" t="str">
        <f>Metadata3</f>
        <v>Tourismusland, sondern auch unternehmensnahe Dienstleistungen entwickeln sich erfolgreich.</v>
      </c>
      <c r="B70" s="29"/>
      <c r="C70" s="29"/>
      <c r="D70" s="29"/>
      <c r="E70" s="29"/>
      <c r="F70" s="29"/>
      <c r="G70" s="29"/>
    </row>
    <row r="71" spans="1:7" ht="13.5" x14ac:dyDescent="0.35">
      <c r="B71" s="29"/>
      <c r="C71" s="29"/>
      <c r="D71" s="29"/>
      <c r="E71" s="29"/>
      <c r="F71" s="29"/>
      <c r="G71" s="29"/>
    </row>
    <row r="72" spans="1:7" ht="13.5" x14ac:dyDescent="0.35">
      <c r="A72" s="29" t="str">
        <f>Metadata4</f>
        <v>Die OeNB erhebt den  Dienstleistungsverkehr für Zwecke der Zahlungsbilanzstatistik in enger Kooperation mit Statistik Austria. Im Gegensatz zum Reiseverkehr,</v>
      </c>
      <c r="B72" s="29"/>
      <c r="C72" s="29"/>
      <c r="D72" s="29"/>
      <c r="E72" s="29"/>
      <c r="F72" s="29"/>
      <c r="G72" s="29"/>
    </row>
    <row r="73" spans="1:7" ht="13.5" x14ac:dyDescent="0.35">
      <c r="A73" s="29" t="str">
        <f>Metadata5</f>
        <v>der auf Basis mehrerer Datenquellen erhoben wird (unter anderem Nächtigungsstatistik, Gästebefragung, Telefoninterviews), werden Informationen über unternehmensbezogene Dienstleistungen im Rahmen einer Firmenbefragung gewonnen (Konzentrationsstichprobe).</v>
      </c>
      <c r="B73" s="29"/>
      <c r="C73" s="29"/>
      <c r="D73" s="29"/>
      <c r="E73" s="29"/>
      <c r="F73" s="29"/>
      <c r="G73" s="29"/>
    </row>
    <row r="74" spans="1:7" ht="13.5" x14ac:dyDescent="0.35">
      <c r="B74" s="29"/>
      <c r="C74" s="29"/>
      <c r="D74" s="29"/>
      <c r="E74" s="29"/>
      <c r="F74" s="29"/>
      <c r="G74" s="29"/>
    </row>
    <row r="75" spans="1:7" ht="13.5" x14ac:dyDescent="0.35">
      <c r="A75" s="29" t="str">
        <f>Metadata6</f>
        <v>Unter dem Begriff unternehmensnaher Dienstleistungen wird eine Vielzahl von Leistungsarten erfasst, unter anderem Frachten- und Personentransport,</v>
      </c>
      <c r="B75" s="29"/>
      <c r="C75" s="29"/>
      <c r="D75" s="29"/>
      <c r="E75" s="29"/>
      <c r="F75" s="29"/>
      <c r="G75" s="29"/>
    </row>
    <row r="76" spans="1:7" ht="13.5" x14ac:dyDescent="0.35">
      <c r="A76" s="29" t="str">
        <f>Metadata7</f>
        <v>Bauleistungen, EDV- und Informationsdienstleistungen, wirtschaftliche Beratungstätigkeiten, Leistungen der Forschung und Entwicklung.</v>
      </c>
      <c r="B76" s="29"/>
      <c r="C76" s="29"/>
      <c r="D76" s="29"/>
      <c r="E76" s="29"/>
      <c r="F76" s="29"/>
      <c r="G76" s="29"/>
    </row>
    <row r="77" spans="1:7" ht="13.5" x14ac:dyDescent="0.35">
      <c r="A77" s="29" t="str">
        <f>Metadata8</f>
        <v>Die Klassifikation richtet sich nach der Extended Balance of Payments Services Classification (EBOPS 2010). Es wird zwischen Erlösen (Exporten) und Aufwendungen (Importen) unterschieden.</v>
      </c>
      <c r="B77" s="29"/>
      <c r="C77" s="29"/>
      <c r="D77" s="29"/>
      <c r="E77" s="29"/>
      <c r="F77" s="29"/>
      <c r="G77" s="29"/>
    </row>
    <row r="78" spans="1:7" ht="13.5" x14ac:dyDescent="0.35">
      <c r="A78" s="29"/>
      <c r="B78" s="29"/>
      <c r="C78" s="29"/>
      <c r="D78" s="29"/>
      <c r="E78" s="29"/>
      <c r="F78" s="29"/>
      <c r="G78" s="29"/>
    </row>
    <row r="79" spans="1:7" ht="13.5" x14ac:dyDescent="0.35">
      <c r="A79" s="29"/>
      <c r="B79" s="29"/>
      <c r="C79" s="29"/>
      <c r="D79" s="29"/>
      <c r="E79" s="29"/>
      <c r="F79" s="29"/>
      <c r="G79" s="29"/>
    </row>
  </sheetData>
  <sheetProtection algorithmName="SHA-512" hashValue="rUuwBW5NpbqDe3puGBHWEWFPlR2TQkX4i1rTUku/88+g4HzYgQzC2n31qgAnEBTQZUWP6i8szqUphcRPsPnV4Q==" saltValue="uzmtCdMxYgHmOqmUHLfTdQ==" spinCount="100000" sheet="1" scenarios="1"/>
  <mergeCells count="2">
    <mergeCell ref="F2:G2"/>
    <mergeCell ref="A43:B43"/>
  </mergeCells>
  <conditionalFormatting sqref="A3">
    <cfRule type="containsText" dxfId="65" priority="1" operator="containsText" text="revised data">
      <formula>NOT(ISERROR(SEARCH("revised data",A3)))</formula>
    </cfRule>
    <cfRule type="containsText" dxfId="64" priority="2" operator="containsText" text="preliminary data">
      <formula>NOT(ISERROR(SEARCH("preliminary data",A3)))</formula>
    </cfRule>
    <cfRule type="containsText" dxfId="63" priority="5" operator="containsText" text="revidierte Daten">
      <formula>NOT(ISERROR(SEARCH("revidierte Daten",A3)))</formula>
    </cfRule>
    <cfRule type="containsText" dxfId="62" priority="6" operator="containsText" text="vorläufige Daten">
      <formula>NOT(ISERROR(SEARCH("vorläufige Daten",A3)))</formula>
    </cfRule>
  </conditionalFormatting>
  <conditionalFormatting sqref="C5 I5">
    <cfRule type="dataBar" priority="3">
      <dataBar showValue="0">
        <cfvo type="min"/>
        <cfvo type="max"/>
        <color rgb="FFE20613"/>
      </dataBar>
      <extLst>
        <ext xmlns:x14="http://schemas.microsoft.com/office/spreadsheetml/2009/9/main" uri="{B025F937-C7B1-47D3-B67F-A62EFF666E3E}">
          <x14:id>{D3879E81-9EE6-43AF-863A-C6C6A2BA17D6}</x14:id>
        </ext>
      </extLst>
    </cfRule>
  </conditionalFormatting>
  <conditionalFormatting sqref="C5:C6 I5:I6">
    <cfRule type="dataBar" priority="4">
      <dataBar showValue="0">
        <cfvo type="min"/>
        <cfvo type="max"/>
        <color rgb="FF666666"/>
      </dataBar>
      <extLst>
        <ext xmlns:x14="http://schemas.microsoft.com/office/spreadsheetml/2009/9/main" uri="{B025F937-C7B1-47D3-B67F-A62EFF666E3E}">
          <x14:id>{74A73746-ABE5-4831-88DC-A87B5635D865}</x14:id>
        </ext>
      </extLst>
    </cfRule>
    <cfRule type="dataBar" priority="11">
      <dataBar showValue="0">
        <cfvo type="min"/>
        <cfvo type="max"/>
        <color rgb="FFE20613"/>
      </dataBar>
      <extLst>
        <ext xmlns:x14="http://schemas.microsoft.com/office/spreadsheetml/2009/9/main" uri="{B025F937-C7B1-47D3-B67F-A62EFF666E3E}">
          <x14:id>{17E852A3-315C-4726-BE95-A82E4F563B7D}</x14:id>
        </ext>
      </extLst>
    </cfRule>
  </conditionalFormatting>
  <conditionalFormatting sqref="C5:C7 I5:I7">
    <cfRule type="dataBar" priority="12">
      <dataBar showValue="0">
        <cfvo type="min"/>
        <cfvo type="max"/>
        <color rgb="FFE20613"/>
      </dataBar>
      <extLst>
        <ext xmlns:x14="http://schemas.microsoft.com/office/spreadsheetml/2009/9/main" uri="{B025F937-C7B1-47D3-B67F-A62EFF666E3E}">
          <x14:id>{2BAAAE37-E164-4040-8125-8D543B33BF1E}</x14:id>
        </ext>
      </extLst>
    </cfRule>
  </conditionalFormatting>
  <conditionalFormatting sqref="C28:C39">
    <cfRule type="dataBar" priority="25">
      <dataBar showValue="0">
        <cfvo type="min"/>
        <cfvo type="max"/>
        <color rgb="FFE20613"/>
      </dataBar>
      <extLst>
        <ext xmlns:x14="http://schemas.microsoft.com/office/spreadsheetml/2009/9/main" uri="{B025F937-C7B1-47D3-B67F-A62EFF666E3E}">
          <x14:id>{E189AC05-A8EC-425C-A579-A8DE3548D919}</x14:id>
        </ext>
      </extLst>
    </cfRule>
  </conditionalFormatting>
  <conditionalFormatting sqref="E5:E6">
    <cfRule type="dataBar" priority="17">
      <dataBar showValue="0">
        <cfvo type="min"/>
        <cfvo type="max"/>
        <color rgb="FF638EC6"/>
      </dataBar>
      <extLst>
        <ext xmlns:x14="http://schemas.microsoft.com/office/spreadsheetml/2009/9/main" uri="{B025F937-C7B1-47D3-B67F-A62EFF666E3E}">
          <x14:id>{EBDCA807-FAA0-4878-A0E8-CDEB085BED01}</x14:id>
        </ext>
      </extLst>
    </cfRule>
  </conditionalFormatting>
  <conditionalFormatting sqref="E5:E7">
    <cfRule type="dataBar" priority="18">
      <dataBar showValue="0">
        <cfvo type="min"/>
        <cfvo type="max"/>
        <color rgb="FF92D050"/>
      </dataBar>
      <extLst>
        <ext xmlns:x14="http://schemas.microsoft.com/office/spreadsheetml/2009/9/main" uri="{B025F937-C7B1-47D3-B67F-A62EFF666E3E}">
          <x14:id>{3A23F73E-B5E7-4618-A444-B79779C967D4}</x14:id>
        </ext>
      </extLst>
    </cfRule>
  </conditionalFormatting>
  <conditionalFormatting sqref="E7">
    <cfRule type="iconSet" priority="16">
      <iconSet iconSet="3Arrows" showValue="0">
        <cfvo type="percent" val="0"/>
        <cfvo type="num" val="0"/>
        <cfvo type="num" val="0"/>
      </iconSet>
    </cfRule>
  </conditionalFormatting>
  <conditionalFormatting sqref="I28:I39">
    <cfRule type="dataBar" priority="21">
      <dataBar showValue="0">
        <cfvo type="min"/>
        <cfvo type="max"/>
        <color rgb="FF666666"/>
      </dataBar>
      <extLst>
        <ext xmlns:x14="http://schemas.microsoft.com/office/spreadsheetml/2009/9/main" uri="{B025F937-C7B1-47D3-B67F-A62EFF666E3E}">
          <x14:id>{EF18905C-1292-40F7-A83B-6374AB0EF201}</x14:id>
        </ext>
      </extLst>
    </cfRule>
  </conditionalFormatting>
  <conditionalFormatting sqref="K5:K6">
    <cfRule type="dataBar" priority="14">
      <dataBar showValue="0">
        <cfvo type="min"/>
        <cfvo type="max"/>
        <color rgb="FF638EC6"/>
      </dataBar>
      <extLst>
        <ext xmlns:x14="http://schemas.microsoft.com/office/spreadsheetml/2009/9/main" uri="{B025F937-C7B1-47D3-B67F-A62EFF666E3E}">
          <x14:id>{F7E84E57-4017-4CF2-952D-5611C2DBDEFA}</x14:id>
        </ext>
      </extLst>
    </cfRule>
  </conditionalFormatting>
  <conditionalFormatting sqref="K5:K7">
    <cfRule type="dataBar" priority="15">
      <dataBar showValue="0">
        <cfvo type="min"/>
        <cfvo type="max"/>
        <color rgb="FF92D050"/>
      </dataBar>
      <extLst>
        <ext xmlns:x14="http://schemas.microsoft.com/office/spreadsheetml/2009/9/main" uri="{B025F937-C7B1-47D3-B67F-A62EFF666E3E}">
          <x14:id>{FB9033B5-0304-4ED1-B192-46EABD9AF46F}</x14:id>
        </ext>
      </extLst>
    </cfRule>
  </conditionalFormatting>
  <conditionalFormatting sqref="K7">
    <cfRule type="iconSet" priority="13">
      <iconSet iconSet="3Arrows" showValue="0">
        <cfvo type="percent" val="0"/>
        <cfvo type="num" val="0"/>
        <cfvo type="num" val="0"/>
      </iconSet>
    </cfRule>
  </conditionalFormatting>
  <pageMargins left="0.31496062992125984" right="0.31496062992125984" top="0.39370078740157483" bottom="0.39370078740157483" header="0.31496062992125984" footer="0.31496062992125984"/>
  <pageSetup paperSize="9" scale="92" orientation="landscape" horizontalDpi="4294967294" verticalDpi="4294967294" r:id="rId1"/>
  <rowBreaks count="1" manualBreakCount="1">
    <brk id="40"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612354" r:id="rId4" name="Spinner 2">
              <controlPr defaultSize="0" autoPict="0">
                <anchor>
                  <from>
                    <xdr:col>7</xdr:col>
                    <xdr:colOff>1098550</xdr:colOff>
                    <xdr:row>1</xdr:row>
                    <xdr:rowOff>0</xdr:rowOff>
                  </from>
                  <to>
                    <xdr:col>7</xdr:col>
                    <xdr:colOff>1231900</xdr:colOff>
                    <xdr:row>2</xdr:row>
                    <xdr:rowOff>12700</xdr:rowOff>
                  </to>
                </anchor>
              </controlPr>
            </control>
          </mc:Choice>
        </mc:AlternateContent>
        <mc:AlternateContent xmlns:mc="http://schemas.openxmlformats.org/markup-compatibility/2006">
          <mc:Choice Requires="x14">
            <control shapeId="612355" r:id="rId5" name="Spinner 3">
              <controlPr defaultSize="0" autoPict="0">
                <anchor>
                  <from>
                    <xdr:col>3</xdr:col>
                    <xdr:colOff>88900</xdr:colOff>
                    <xdr:row>41</xdr:row>
                    <xdr:rowOff>184150</xdr:rowOff>
                  </from>
                  <to>
                    <xdr:col>3</xdr:col>
                    <xdr:colOff>228600</xdr:colOff>
                    <xdr:row>42</xdr:row>
                    <xdr:rowOff>184150</xdr:rowOff>
                  </to>
                </anchor>
              </controlPr>
            </control>
          </mc:Choice>
        </mc:AlternateContent>
        <mc:AlternateContent xmlns:mc="http://schemas.openxmlformats.org/markup-compatibility/2006">
          <mc:Choice Requires="x14">
            <control shapeId="612357" r:id="rId6" name="Option Button 5">
              <controlPr defaultSize="0" autoFill="0" autoLine="0" autoPict="0">
                <anchor moveWithCells="1">
                  <from>
                    <xdr:col>12</xdr:col>
                    <xdr:colOff>381000</xdr:colOff>
                    <xdr:row>1</xdr:row>
                    <xdr:rowOff>107950</xdr:rowOff>
                  </from>
                  <to>
                    <xdr:col>13</xdr:col>
                    <xdr:colOff>374650</xdr:colOff>
                    <xdr:row>2</xdr:row>
                    <xdr:rowOff>76200</xdr:rowOff>
                  </to>
                </anchor>
              </controlPr>
            </control>
          </mc:Choice>
        </mc:AlternateContent>
        <mc:AlternateContent xmlns:mc="http://schemas.openxmlformats.org/markup-compatibility/2006">
          <mc:Choice Requires="x14">
            <control shapeId="612358" r:id="rId7" name="Option Button 6">
              <controlPr defaultSize="0" autoFill="0" autoLine="0" autoPict="0">
                <anchor moveWithCells="1">
                  <from>
                    <xdr:col>12</xdr:col>
                    <xdr:colOff>381000</xdr:colOff>
                    <xdr:row>2</xdr:row>
                    <xdr:rowOff>38100</xdr:rowOff>
                  </from>
                  <to>
                    <xdr:col>13</xdr:col>
                    <xdr:colOff>374650</xdr:colOff>
                    <xdr:row>3</xdr:row>
                    <xdr:rowOff>69850</xdr:rowOff>
                  </to>
                </anchor>
              </controlPr>
            </control>
          </mc:Choice>
        </mc:AlternateContent>
        <mc:AlternateContent xmlns:mc="http://schemas.openxmlformats.org/markup-compatibility/2006">
          <mc:Choice Requires="x14">
            <control shapeId="612359" r:id="rId8" name="Group Box 7">
              <controlPr defaultSize="0" autoFill="0" autoPict="0">
                <anchor moveWithCells="1">
                  <from>
                    <xdr:col>12</xdr:col>
                    <xdr:colOff>266700</xdr:colOff>
                    <xdr:row>0</xdr:row>
                    <xdr:rowOff>31750</xdr:rowOff>
                  </from>
                  <to>
                    <xdr:col>13</xdr:col>
                    <xdr:colOff>565150</xdr:colOff>
                    <xdr:row>3</xdr:row>
                    <xdr:rowOff>146050</xdr:rowOff>
                  </to>
                </anchor>
              </controlPr>
            </control>
          </mc:Choice>
        </mc:AlternateContent>
        <mc:AlternateContent xmlns:mc="http://schemas.openxmlformats.org/markup-compatibility/2006">
          <mc:Choice Requires="x14">
            <control shapeId="612360" r:id="rId9" name="Drop Down 8">
              <controlPr defaultSize="0" autoLine="0" autoPict="0">
                <anchor moveWithCells="1">
                  <from>
                    <xdr:col>2</xdr:col>
                    <xdr:colOff>679450</xdr:colOff>
                    <xdr:row>1</xdr:row>
                    <xdr:rowOff>12700</xdr:rowOff>
                  </from>
                  <to>
                    <xdr:col>5</xdr:col>
                    <xdr:colOff>222250</xdr:colOff>
                    <xdr:row>2</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D3879E81-9EE6-43AF-863A-C6C6A2BA17D6}">
            <x14:dataBar minLength="0" maxLength="100" gradient="0">
              <x14:cfvo type="autoMin"/>
              <x14:cfvo type="autoMax"/>
              <x14:negativeFillColor rgb="FF666666"/>
              <x14:axisColor theme="0"/>
            </x14:dataBar>
          </x14:cfRule>
          <xm:sqref>C5 I5</xm:sqref>
        </x14:conditionalFormatting>
        <x14:conditionalFormatting xmlns:xm="http://schemas.microsoft.com/office/excel/2006/main">
          <x14:cfRule type="dataBar" id="{74A73746-ABE5-4831-88DC-A87B5635D865}">
            <x14:dataBar minLength="0" maxLength="100" gradient="0">
              <x14:cfvo type="autoMin"/>
              <x14:cfvo type="autoMax"/>
              <x14:negativeFillColor rgb="FFE20613"/>
              <x14:axisColor theme="0"/>
            </x14:dataBar>
          </x14:cfRule>
          <x14:cfRule type="dataBar" id="{17E852A3-315C-4726-BE95-A82E4F563B7D}">
            <x14:dataBar minLength="0" maxLength="100" gradient="0">
              <x14:cfvo type="autoMin"/>
              <x14:cfvo type="autoMax"/>
              <x14:negativeFillColor rgb="FF666666"/>
              <x14:axisColor rgb="FFFFFFFF"/>
            </x14:dataBar>
          </x14:cfRule>
          <xm:sqref>C5:C6 I5:I6</xm:sqref>
        </x14:conditionalFormatting>
        <x14:conditionalFormatting xmlns:xm="http://schemas.microsoft.com/office/excel/2006/main">
          <x14:cfRule type="dataBar" id="{2BAAAE37-E164-4040-8125-8D543B33BF1E}">
            <x14:dataBar minLength="0" maxLength="100" gradient="0">
              <x14:cfvo type="autoMin"/>
              <x14:cfvo type="autoMax"/>
              <x14:negativeFillColor rgb="FF666666"/>
              <x14:axisColor theme="0"/>
            </x14:dataBar>
          </x14:cfRule>
          <xm:sqref>C5:C7 I5:I7</xm:sqref>
        </x14:conditionalFormatting>
        <x14:conditionalFormatting xmlns:xm="http://schemas.microsoft.com/office/excel/2006/main">
          <x14:cfRule type="dataBar" id="{E189AC05-A8EC-425C-A579-A8DE3548D919}">
            <x14:dataBar minLength="0" maxLength="100" gradient="0">
              <x14:cfvo type="autoMin"/>
              <x14:cfvo type="autoMax"/>
              <x14:negativeFillColor rgb="FF666666"/>
              <x14:axisColor theme="0"/>
            </x14:dataBar>
          </x14:cfRule>
          <xm:sqref>C28:C39</xm:sqref>
        </x14:conditionalFormatting>
        <x14:conditionalFormatting xmlns:xm="http://schemas.microsoft.com/office/excel/2006/main">
          <x14:cfRule type="dataBar" id="{EBDCA807-FAA0-4878-A0E8-CDEB085BED01}">
            <x14:dataBar minLength="0" maxLength="100" gradient="0">
              <x14:cfvo type="autoMin"/>
              <x14:cfvo type="autoMax"/>
              <x14:negativeFillColor rgb="FFFF0000"/>
              <x14:axisColor rgb="FF000000"/>
            </x14:dataBar>
          </x14:cfRule>
          <xm:sqref>E5:E6</xm:sqref>
        </x14:conditionalFormatting>
        <x14:conditionalFormatting xmlns:xm="http://schemas.microsoft.com/office/excel/2006/main">
          <x14:cfRule type="dataBar" id="{3A23F73E-B5E7-4618-A444-B79779C967D4}">
            <x14:dataBar minLength="0" maxLength="100" gradient="0">
              <x14:cfvo type="autoMin"/>
              <x14:cfvo type="max"/>
              <x14:negativeFillColor rgb="FFFF0000"/>
              <x14:axisColor rgb="FFFFFFFF"/>
            </x14:dataBar>
          </x14:cfRule>
          <xm:sqref>E5:E7</xm:sqref>
        </x14:conditionalFormatting>
        <x14:conditionalFormatting xmlns:xm="http://schemas.microsoft.com/office/excel/2006/main">
          <x14:cfRule type="dataBar" id="{EF18905C-1292-40F7-A83B-6374AB0EF201}">
            <x14:dataBar minLength="0" maxLength="100" gradient="0">
              <x14:cfvo type="autoMin"/>
              <x14:cfvo type="autoMax"/>
              <x14:negativeFillColor rgb="FFE20613"/>
              <x14:axisColor theme="0"/>
            </x14:dataBar>
          </x14:cfRule>
          <xm:sqref>I28:I39</xm:sqref>
        </x14:conditionalFormatting>
        <x14:conditionalFormatting xmlns:xm="http://schemas.microsoft.com/office/excel/2006/main">
          <x14:cfRule type="dataBar" id="{F7E84E57-4017-4CF2-952D-5611C2DBDEFA}">
            <x14:dataBar minLength="0" maxLength="100" gradient="0">
              <x14:cfvo type="autoMin"/>
              <x14:cfvo type="autoMax"/>
              <x14:negativeFillColor rgb="FFFF0000"/>
              <x14:axisColor rgb="FF000000"/>
            </x14:dataBar>
          </x14:cfRule>
          <xm:sqref>K5:K6</xm:sqref>
        </x14:conditionalFormatting>
        <x14:conditionalFormatting xmlns:xm="http://schemas.microsoft.com/office/excel/2006/main">
          <x14:cfRule type="dataBar" id="{FB9033B5-0304-4ED1-B192-46EABD9AF46F}">
            <x14:dataBar minLength="0" maxLength="100" gradient="0">
              <x14:cfvo type="autoMin"/>
              <x14:cfvo type="max"/>
              <x14:negativeFillColor rgb="FFFF0000"/>
              <x14:axisColor rgb="FFFFFFFF"/>
            </x14:dataBar>
          </x14:cfRule>
          <xm:sqref>K5:K7</xm:sqref>
        </x14:conditionalFormatting>
      </x14:conditionalFormattings>
    </ext>
    <ext xmlns:x14="http://schemas.microsoft.com/office/spreadsheetml/2009/9/main" uri="{05C60535-1F16-4fd2-B633-F4F36F0B64E0}">
      <x14:sparklineGroups xmlns:xm="http://schemas.microsoft.com/office/excel/2006/main">
        <x14:sparklineGroup manualMax="0" manualMin="0" type="column" displayEmptyCellsAs="gap" high="1" xr2:uid="{00000000-0003-0000-0000-000001000000}">
          <x14:colorSeries rgb="FF666666"/>
          <x14:colorNegative theme="6"/>
          <x14:colorAxis rgb="FF000000"/>
          <x14:colorMarkers theme="5" tint="-0.499984740745262"/>
          <x14:colorFirst theme="5" tint="0.39997558519241921"/>
          <x14:colorLast theme="5" tint="0.39997558519241921"/>
          <x14:colorHigh rgb="FFCCCCCC"/>
          <x14:colorLow theme="5"/>
          <x14:sparklines>
            <x14:sparkline>
              <xm:f>Top10_Export_Import!N18:AR18</xm:f>
              <xm:sqref>L28</xm:sqref>
            </x14:sparkline>
            <x14:sparkline>
              <xm:f>Top10_Export_Import!N19:AR19</xm:f>
              <xm:sqref>L29</xm:sqref>
            </x14:sparkline>
            <x14:sparkline>
              <xm:f>Top10_Export_Import!N20:AR20</xm:f>
              <xm:sqref>L30</xm:sqref>
            </x14:sparkline>
            <x14:sparkline>
              <xm:f>Top10_Export_Import!N21:AR21</xm:f>
              <xm:sqref>L31</xm:sqref>
            </x14:sparkline>
            <x14:sparkline>
              <xm:f>Top10_Export_Import!N22:AR22</xm:f>
              <xm:sqref>L32</xm:sqref>
            </x14:sparkline>
            <x14:sparkline>
              <xm:f>Top10_Export_Import!N23:AR23</xm:f>
              <xm:sqref>L33</xm:sqref>
            </x14:sparkline>
            <x14:sparkline>
              <xm:f>Top10_Export_Import!N24:AR24</xm:f>
              <xm:sqref>L34</xm:sqref>
            </x14:sparkline>
            <x14:sparkline>
              <xm:f>Top10_Export_Import!N25:AR25</xm:f>
              <xm:sqref>L35</xm:sqref>
            </x14:sparkline>
            <x14:sparkline>
              <xm:f>Top10_Export_Import!N26:AR26</xm:f>
              <xm:sqref>L36</xm:sqref>
            </x14:sparkline>
            <x14:sparkline>
              <xm:f>Top10_Export_Import!N27:AR27</xm:f>
              <xm:sqref>L37</xm:sqref>
            </x14:sparkline>
            <x14:sparkline>
              <xm:f>Top10_Export_Import!N28:AR28</xm:f>
              <xm:sqref>L38</xm:sqref>
            </x14:sparkline>
            <x14:sparkline>
              <xm:f>Top10_Export_Import!N29:AR29</xm:f>
              <xm:sqref>L39</xm:sqref>
            </x14:sparkline>
          </x14:sparklines>
        </x14:sparklineGroup>
        <x14:sparklineGroup manualMax="0" manualMin="0" type="column" displayEmptyCellsAs="gap" high="1" xr2:uid="{00000000-0003-0000-0000-000000000000}">
          <x14:colorSeries rgb="FFE20613"/>
          <x14:colorNegative theme="5"/>
          <x14:colorAxis rgb="FF000000"/>
          <x14:colorMarkers theme="4" tint="-0.499984740745262"/>
          <x14:colorFirst theme="4" tint="0.39997558519241921"/>
          <x14:colorLast theme="4" tint="0.39997558519241921"/>
          <x14:colorHigh rgb="FFFC8086"/>
          <x14:colorLow theme="4"/>
          <x14:sparklines>
            <x14:sparkline>
              <xm:f>Top10_Export_Import!N3:AR3</xm:f>
              <xm:sqref>F28</xm:sqref>
            </x14:sparkline>
            <x14:sparkline>
              <xm:f>Top10_Export_Import!N4:AR4</xm:f>
              <xm:sqref>F29</xm:sqref>
            </x14:sparkline>
            <x14:sparkline>
              <xm:f>Top10_Export_Import!N5:AR5</xm:f>
              <xm:sqref>F30</xm:sqref>
            </x14:sparkline>
            <x14:sparkline>
              <xm:f>Top10_Export_Import!N6:AR6</xm:f>
              <xm:sqref>F31</xm:sqref>
            </x14:sparkline>
            <x14:sparkline>
              <xm:f>Top10_Export_Import!N7:AR7</xm:f>
              <xm:sqref>F32</xm:sqref>
            </x14:sparkline>
            <x14:sparkline>
              <xm:f>Top10_Export_Import!N8:AR8</xm:f>
              <xm:sqref>F33</xm:sqref>
            </x14:sparkline>
            <x14:sparkline>
              <xm:f>Top10_Export_Import!N9:AR9</xm:f>
              <xm:sqref>F34</xm:sqref>
            </x14:sparkline>
            <x14:sparkline>
              <xm:f>Top10_Export_Import!N10:AR10</xm:f>
              <xm:sqref>F35</xm:sqref>
            </x14:sparkline>
            <x14:sparkline>
              <xm:f>Top10_Export_Import!N11:AR11</xm:f>
              <xm:sqref>F36</xm:sqref>
            </x14:sparkline>
            <x14:sparkline>
              <xm:f>Top10_Export_Import!N12:AR12</xm:f>
              <xm:sqref>F37</xm:sqref>
            </x14:sparkline>
            <x14:sparkline>
              <xm:f>Top10_Export_Import!N13:AR13</xm:f>
              <xm:sqref>F38</xm:sqref>
            </x14:sparkline>
            <x14:sparkline>
              <xm:f>Top10_Export_Import!N14:AR14</xm:f>
              <xm:sqref>F39</xm:sqref>
            </x14:sparkline>
          </x14:sparklines>
        </x14:sparklineGroup>
      </x14:sparklineGroup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I30"/>
  <sheetViews>
    <sheetView workbookViewId="0">
      <pane xSplit="4" ySplit="1" topLeftCell="AC12" activePane="bottomRight" state="frozen"/>
      <selection activeCell="E2" sqref="E2:Z30"/>
      <selection pane="topRight" activeCell="E2" sqref="E2:Z30"/>
      <selection pane="bottomLeft" activeCell="E2" sqref="E2:Z30"/>
      <selection pane="bottomRight" activeCell="E1" sqref="E1:AI30"/>
    </sheetView>
  </sheetViews>
  <sheetFormatPr baseColWidth="10" defaultColWidth="11.453125" defaultRowHeight="12.5" x14ac:dyDescent="0.25"/>
  <cols>
    <col min="1" max="1" width="8.453125" customWidth="1"/>
    <col min="2" max="2" width="65.1796875" bestFit="1" customWidth="1"/>
    <col min="3" max="3" width="7.453125" customWidth="1"/>
    <col min="4" max="4" width="6.453125" customWidth="1"/>
    <col min="5" max="15" width="12" bestFit="1" customWidth="1"/>
    <col min="16" max="24" width="12" customWidth="1"/>
    <col min="26" max="45" width="12" bestFit="1" customWidth="1"/>
    <col min="46" max="46" width="12.453125" bestFit="1" customWidth="1"/>
    <col min="47" max="47" width="12" bestFit="1" customWidth="1"/>
    <col min="48" max="48" width="12.453125" bestFit="1" customWidth="1"/>
    <col min="49" max="49" width="12" bestFit="1" customWidth="1"/>
    <col min="50" max="52" width="12.453125" bestFit="1" customWidth="1"/>
  </cols>
  <sheetData>
    <row r="1" spans="1:35" ht="14.5" x14ac:dyDescent="0.35">
      <c r="A1" s="56" t="s">
        <v>1</v>
      </c>
      <c r="B1" s="56" t="s">
        <v>111</v>
      </c>
      <c r="C1" s="56" t="s">
        <v>49</v>
      </c>
      <c r="D1" s="56" t="s">
        <v>50</v>
      </c>
      <c r="E1" s="63" t="s">
        <v>19</v>
      </c>
      <c r="F1" s="63" t="s">
        <v>20</v>
      </c>
      <c r="G1" s="63" t="s">
        <v>21</v>
      </c>
      <c r="H1" s="63" t="s">
        <v>22</v>
      </c>
      <c r="I1" s="63" t="s">
        <v>23</v>
      </c>
      <c r="J1" s="63" t="s">
        <v>24</v>
      </c>
      <c r="K1" s="63" t="s">
        <v>25</v>
      </c>
      <c r="L1" s="63" t="s">
        <v>26</v>
      </c>
      <c r="M1" s="63" t="s">
        <v>27</v>
      </c>
      <c r="N1" s="63" t="s">
        <v>28</v>
      </c>
      <c r="O1" s="63" t="s">
        <v>29</v>
      </c>
      <c r="P1" s="63" t="s">
        <v>30</v>
      </c>
      <c r="Q1" s="63" t="s">
        <v>31</v>
      </c>
      <c r="R1" s="63" t="s">
        <v>32</v>
      </c>
      <c r="S1" s="63" t="s">
        <v>33</v>
      </c>
      <c r="T1" s="63" t="s">
        <v>34</v>
      </c>
      <c r="U1" s="63" t="s">
        <v>35</v>
      </c>
      <c r="V1" s="63" t="s">
        <v>36</v>
      </c>
      <c r="W1" s="63" t="s">
        <v>52</v>
      </c>
      <c r="X1" s="63" t="s">
        <v>63</v>
      </c>
      <c r="Y1" s="63" t="s">
        <v>112</v>
      </c>
      <c r="Z1" s="63" t="s">
        <v>115</v>
      </c>
      <c r="AA1" s="63" t="s">
        <v>116</v>
      </c>
      <c r="AB1" s="63" t="s">
        <v>157</v>
      </c>
      <c r="AC1" s="63" t="s">
        <v>158</v>
      </c>
      <c r="AD1" s="63" t="s">
        <v>159</v>
      </c>
      <c r="AE1" s="63" t="s">
        <v>160</v>
      </c>
      <c r="AF1" s="63" t="s">
        <v>161</v>
      </c>
      <c r="AG1" s="63" t="s">
        <v>162</v>
      </c>
      <c r="AH1" s="63" t="s">
        <v>163</v>
      </c>
      <c r="AI1" s="63" t="s">
        <v>165</v>
      </c>
    </row>
    <row r="2" spans="1:35" ht="14.5" x14ac:dyDescent="0.35">
      <c r="A2" s="57" t="s">
        <v>3</v>
      </c>
      <c r="B2" s="57" t="str">
        <f>VLOOKUP(Tabelle_Abfrage_von_MS_Access_Database[[#This Row],[LAND]],Tabelle_Abfrage_von_MS_Access_Database4[[LAND]:[Partnerland]],2,FALSE)</f>
        <v>Gebühren für Lohnveredelung</v>
      </c>
      <c r="C2" s="57" t="s">
        <v>19</v>
      </c>
      <c r="D2" s="57" t="s">
        <v>51</v>
      </c>
      <c r="E2" s="64">
        <v>438</v>
      </c>
      <c r="F2" s="64">
        <v>388</v>
      </c>
      <c r="G2" s="64">
        <v>156</v>
      </c>
      <c r="H2" s="64">
        <v>197</v>
      </c>
      <c r="I2" s="64">
        <v>188</v>
      </c>
      <c r="J2" s="64">
        <v>117</v>
      </c>
      <c r="K2" s="64">
        <v>175</v>
      </c>
      <c r="L2" s="64">
        <v>416</v>
      </c>
      <c r="M2" s="64">
        <v>401</v>
      </c>
      <c r="N2" s="64">
        <v>536</v>
      </c>
      <c r="O2" s="64">
        <v>506</v>
      </c>
      <c r="P2" s="64">
        <v>609</v>
      </c>
      <c r="Q2" s="64">
        <v>606</v>
      </c>
      <c r="R2" s="64">
        <v>675</v>
      </c>
      <c r="S2" s="64">
        <v>727</v>
      </c>
      <c r="T2" s="64">
        <v>389</v>
      </c>
      <c r="U2" s="64">
        <v>471</v>
      </c>
      <c r="V2" s="64">
        <v>255</v>
      </c>
      <c r="W2" s="64">
        <v>1469</v>
      </c>
      <c r="X2" s="64">
        <v>1568</v>
      </c>
      <c r="Y2" s="64">
        <v>1460</v>
      </c>
      <c r="Z2" s="64">
        <v>1576</v>
      </c>
      <c r="AA2" s="64">
        <v>1525</v>
      </c>
      <c r="AB2" s="64">
        <v>1557</v>
      </c>
      <c r="AC2" s="64">
        <v>1595</v>
      </c>
      <c r="AD2" s="64">
        <v>1609</v>
      </c>
      <c r="AE2" s="64">
        <v>1903</v>
      </c>
      <c r="AF2" s="64">
        <v>2078</v>
      </c>
      <c r="AG2" s="64">
        <v>2493</v>
      </c>
      <c r="AH2" s="64">
        <v>2359</v>
      </c>
      <c r="AI2" s="66">
        <v>2337</v>
      </c>
    </row>
    <row r="3" spans="1:35" ht="14.5" x14ac:dyDescent="0.35">
      <c r="A3" s="57" t="s">
        <v>4</v>
      </c>
      <c r="B3" s="57" t="str">
        <f>VLOOKUP(Tabelle_Abfrage_von_MS_Access_Database[[#This Row],[LAND]],Tabelle_Abfrage_von_MS_Access_Database4[[LAND]:[Partnerland]],2,FALSE)</f>
        <v>Reparaturdienstleistungen</v>
      </c>
      <c r="C3" s="57" t="s">
        <v>19</v>
      </c>
      <c r="D3" s="57" t="s">
        <v>51</v>
      </c>
      <c r="E3" s="64">
        <v>45</v>
      </c>
      <c r="F3" s="64">
        <v>49</v>
      </c>
      <c r="G3" s="64">
        <v>50</v>
      </c>
      <c r="H3" s="64">
        <v>69</v>
      </c>
      <c r="I3" s="64">
        <v>59</v>
      </c>
      <c r="J3" s="64">
        <v>86</v>
      </c>
      <c r="K3" s="64">
        <v>109</v>
      </c>
      <c r="L3" s="64">
        <v>101</v>
      </c>
      <c r="M3" s="64">
        <v>115</v>
      </c>
      <c r="N3" s="64">
        <v>113</v>
      </c>
      <c r="O3" s="64">
        <v>195</v>
      </c>
      <c r="P3" s="64">
        <v>208</v>
      </c>
      <c r="Q3" s="64">
        <v>149</v>
      </c>
      <c r="R3" s="64">
        <v>172</v>
      </c>
      <c r="S3" s="64">
        <v>160</v>
      </c>
      <c r="T3" s="64">
        <v>199</v>
      </c>
      <c r="U3" s="64">
        <v>253</v>
      </c>
      <c r="V3" s="64">
        <v>287</v>
      </c>
      <c r="W3" s="64">
        <v>486</v>
      </c>
      <c r="X3" s="64">
        <v>481</v>
      </c>
      <c r="Y3" s="64">
        <v>503</v>
      </c>
      <c r="Z3" s="64">
        <v>565</v>
      </c>
      <c r="AA3" s="64">
        <v>756</v>
      </c>
      <c r="AB3" s="64">
        <v>812</v>
      </c>
      <c r="AC3" s="64">
        <v>714</v>
      </c>
      <c r="AD3" s="64">
        <v>649</v>
      </c>
      <c r="AE3" s="64">
        <v>749</v>
      </c>
      <c r="AF3" s="64">
        <v>841</v>
      </c>
      <c r="AG3" s="64">
        <v>945</v>
      </c>
      <c r="AH3" s="64">
        <v>1021</v>
      </c>
      <c r="AI3" s="64">
        <v>1143</v>
      </c>
    </row>
    <row r="4" spans="1:35" ht="14.5" x14ac:dyDescent="0.35">
      <c r="A4" s="57" t="s">
        <v>5</v>
      </c>
      <c r="B4" s="57" t="str">
        <f>VLOOKUP(Tabelle_Abfrage_von_MS_Access_Database[[#This Row],[LAND]],Tabelle_Abfrage_von_MS_Access_Database4[[LAND]:[Partnerland]],2,FALSE)</f>
        <v>Internationaler Personentransport</v>
      </c>
      <c r="C4" s="57" t="s">
        <v>19</v>
      </c>
      <c r="D4" s="57" t="s">
        <v>51</v>
      </c>
      <c r="E4" s="64">
        <v>804</v>
      </c>
      <c r="F4" s="64">
        <v>882</v>
      </c>
      <c r="G4" s="64">
        <v>1119</v>
      </c>
      <c r="H4" s="64">
        <v>1299</v>
      </c>
      <c r="I4" s="64">
        <v>1417</v>
      </c>
      <c r="J4" s="64">
        <v>1608</v>
      </c>
      <c r="K4" s="64">
        <v>1745</v>
      </c>
      <c r="L4" s="64">
        <v>1620</v>
      </c>
      <c r="M4" s="64">
        <v>1612</v>
      </c>
      <c r="N4" s="64">
        <v>1695</v>
      </c>
      <c r="O4" s="64">
        <v>1796</v>
      </c>
      <c r="P4" s="64">
        <v>1889</v>
      </c>
      <c r="Q4" s="64">
        <v>1845</v>
      </c>
      <c r="R4" s="64">
        <v>1835</v>
      </c>
      <c r="S4" s="64">
        <v>1478</v>
      </c>
      <c r="T4" s="64">
        <v>1677</v>
      </c>
      <c r="U4" s="64">
        <v>1919</v>
      </c>
      <c r="V4" s="64">
        <v>1955</v>
      </c>
      <c r="W4" s="64">
        <v>1889</v>
      </c>
      <c r="X4" s="64">
        <v>1771</v>
      </c>
      <c r="Y4" s="64">
        <v>1920</v>
      </c>
      <c r="Z4" s="64">
        <v>1553</v>
      </c>
      <c r="AA4" s="64">
        <v>1843</v>
      </c>
      <c r="AB4" s="64">
        <v>1849</v>
      </c>
      <c r="AC4" s="64">
        <v>2636</v>
      </c>
      <c r="AD4" s="64">
        <v>1312</v>
      </c>
      <c r="AE4" s="64">
        <v>1332</v>
      </c>
      <c r="AF4" s="64">
        <v>2302</v>
      </c>
      <c r="AG4" s="64">
        <v>2528</v>
      </c>
      <c r="AH4" s="64">
        <v>2732</v>
      </c>
      <c r="AI4" s="64">
        <v>2647</v>
      </c>
    </row>
    <row r="5" spans="1:35" ht="14.5" x14ac:dyDescent="0.35">
      <c r="A5" s="57" t="s">
        <v>6</v>
      </c>
      <c r="B5" s="57" t="str">
        <f>VLOOKUP(Tabelle_Abfrage_von_MS_Access_Database[[#This Row],[LAND]],Tabelle_Abfrage_von_MS_Access_Database4[[LAND]:[Partnerland]],2,FALSE)</f>
        <v>Frachten</v>
      </c>
      <c r="C5" s="57" t="s">
        <v>19</v>
      </c>
      <c r="D5" s="57" t="s">
        <v>51</v>
      </c>
      <c r="E5" s="64">
        <v>1573</v>
      </c>
      <c r="F5" s="64">
        <v>1668</v>
      </c>
      <c r="G5" s="64">
        <v>1891</v>
      </c>
      <c r="H5" s="64">
        <v>2228</v>
      </c>
      <c r="I5" s="64">
        <v>2121</v>
      </c>
      <c r="J5" s="64">
        <v>2526</v>
      </c>
      <c r="K5" s="64">
        <v>2970</v>
      </c>
      <c r="L5" s="64">
        <v>3415</v>
      </c>
      <c r="M5" s="64">
        <v>3574</v>
      </c>
      <c r="N5" s="64">
        <v>4446</v>
      </c>
      <c r="O5" s="64">
        <v>4830</v>
      </c>
      <c r="P5" s="64">
        <v>6271</v>
      </c>
      <c r="Q5" s="64">
        <v>6921</v>
      </c>
      <c r="R5" s="64">
        <v>7433</v>
      </c>
      <c r="S5" s="64">
        <v>6244</v>
      </c>
      <c r="T5" s="64">
        <v>7105</v>
      </c>
      <c r="U5" s="64">
        <v>7485</v>
      </c>
      <c r="V5" s="64">
        <v>7500</v>
      </c>
      <c r="W5" s="64">
        <v>8150</v>
      </c>
      <c r="X5" s="64">
        <v>8541</v>
      </c>
      <c r="Y5" s="64">
        <v>8955</v>
      </c>
      <c r="Z5" s="64">
        <v>9267</v>
      </c>
      <c r="AA5" s="64">
        <v>9880</v>
      </c>
      <c r="AB5" s="64">
        <v>10321</v>
      </c>
      <c r="AC5" s="64">
        <v>10705</v>
      </c>
      <c r="AD5" s="64">
        <v>10138</v>
      </c>
      <c r="AE5" s="64">
        <v>12055</v>
      </c>
      <c r="AF5" s="64">
        <v>15197</v>
      </c>
      <c r="AG5" s="64">
        <v>13287</v>
      </c>
      <c r="AH5" s="64">
        <v>13647</v>
      </c>
      <c r="AI5" s="64">
        <v>13707</v>
      </c>
    </row>
    <row r="6" spans="1:35" ht="14.5" x14ac:dyDescent="0.35">
      <c r="A6" s="57" t="s">
        <v>7</v>
      </c>
      <c r="B6" s="57" t="str">
        <f>VLOOKUP(Tabelle_Abfrage_von_MS_Access_Database[[#This Row],[LAND]],Tabelle_Abfrage_von_MS_Access_Database4[[LAND]:[Partnerland]],2,FALSE)</f>
        <v>Transporthilfsleistungen</v>
      </c>
      <c r="C6" s="57" t="s">
        <v>19</v>
      </c>
      <c r="D6" s="57" t="s">
        <v>51</v>
      </c>
      <c r="E6" s="64">
        <v>275</v>
      </c>
      <c r="F6" s="64">
        <v>430</v>
      </c>
      <c r="G6" s="64">
        <v>490</v>
      </c>
      <c r="H6" s="64">
        <v>430</v>
      </c>
      <c r="I6" s="64">
        <v>382</v>
      </c>
      <c r="J6" s="64">
        <v>435</v>
      </c>
      <c r="K6" s="64">
        <v>478</v>
      </c>
      <c r="L6" s="64">
        <v>531</v>
      </c>
      <c r="M6" s="64">
        <v>594</v>
      </c>
      <c r="N6" s="64">
        <v>633</v>
      </c>
      <c r="O6" s="64">
        <v>721</v>
      </c>
      <c r="P6" s="64">
        <v>848</v>
      </c>
      <c r="Q6" s="64">
        <v>912</v>
      </c>
      <c r="R6" s="64">
        <v>958</v>
      </c>
      <c r="S6" s="64">
        <v>885</v>
      </c>
      <c r="T6" s="64">
        <v>957</v>
      </c>
      <c r="U6" s="64">
        <v>1074</v>
      </c>
      <c r="V6" s="64">
        <v>1206</v>
      </c>
      <c r="W6" s="64">
        <v>1324</v>
      </c>
      <c r="X6" s="64">
        <v>1481</v>
      </c>
      <c r="Y6" s="64">
        <v>1417</v>
      </c>
      <c r="Z6" s="64">
        <v>1480</v>
      </c>
      <c r="AA6" s="64">
        <v>1599</v>
      </c>
      <c r="AB6" s="64">
        <v>1744</v>
      </c>
      <c r="AC6" s="64">
        <v>1856</v>
      </c>
      <c r="AD6" s="64">
        <v>1490</v>
      </c>
      <c r="AE6" s="64">
        <v>1735</v>
      </c>
      <c r="AF6" s="64">
        <v>2184</v>
      </c>
      <c r="AG6" s="64">
        <v>2371</v>
      </c>
      <c r="AH6" s="64">
        <v>2644</v>
      </c>
      <c r="AI6" s="64">
        <v>3014</v>
      </c>
    </row>
    <row r="7" spans="1:35" ht="14.5" x14ac:dyDescent="0.35">
      <c r="A7" s="57" t="s">
        <v>8</v>
      </c>
      <c r="B7" s="57" t="str">
        <f>VLOOKUP(Tabelle_Abfrage_von_MS_Access_Database[[#This Row],[LAND]],Tabelle_Abfrage_von_MS_Access_Database4[[LAND]:[Partnerland]],2,FALSE)</f>
        <v>Post- und Kurierdienste</v>
      </c>
      <c r="C7" s="57" t="s">
        <v>19</v>
      </c>
      <c r="D7" s="57" t="s">
        <v>51</v>
      </c>
      <c r="E7" s="64">
        <v>45</v>
      </c>
      <c r="F7" s="64">
        <v>53</v>
      </c>
      <c r="G7" s="64">
        <v>58</v>
      </c>
      <c r="H7" s="64">
        <v>78</v>
      </c>
      <c r="I7" s="64">
        <v>82</v>
      </c>
      <c r="J7" s="64">
        <v>104</v>
      </c>
      <c r="K7" s="64">
        <v>138</v>
      </c>
      <c r="L7" s="64">
        <v>134</v>
      </c>
      <c r="M7" s="64">
        <v>127</v>
      </c>
      <c r="N7" s="64">
        <v>96</v>
      </c>
      <c r="O7" s="64">
        <v>202</v>
      </c>
      <c r="P7" s="64">
        <v>355</v>
      </c>
      <c r="Q7" s="64">
        <v>401</v>
      </c>
      <c r="R7" s="64">
        <v>379</v>
      </c>
      <c r="S7" s="64">
        <v>335</v>
      </c>
      <c r="T7" s="64">
        <v>360</v>
      </c>
      <c r="U7" s="64">
        <v>349</v>
      </c>
      <c r="V7" s="64">
        <v>367</v>
      </c>
      <c r="W7" s="64">
        <v>412</v>
      </c>
      <c r="X7" s="64">
        <v>489</v>
      </c>
      <c r="Y7" s="64">
        <v>514</v>
      </c>
      <c r="Z7" s="64">
        <v>611</v>
      </c>
      <c r="AA7" s="64">
        <v>677</v>
      </c>
      <c r="AB7" s="64">
        <v>699</v>
      </c>
      <c r="AC7" s="64">
        <v>860</v>
      </c>
      <c r="AD7" s="64">
        <v>974</v>
      </c>
      <c r="AE7" s="64">
        <v>1079</v>
      </c>
      <c r="AF7" s="64">
        <v>1202</v>
      </c>
      <c r="AG7" s="64">
        <v>1212</v>
      </c>
      <c r="AH7" s="64">
        <v>1371</v>
      </c>
      <c r="AI7" s="64">
        <v>1479</v>
      </c>
    </row>
    <row r="8" spans="1:35" ht="14.5" x14ac:dyDescent="0.35">
      <c r="A8" s="57" t="s">
        <v>9</v>
      </c>
      <c r="B8" s="57" t="str">
        <f>VLOOKUP(Tabelle_Abfrage_von_MS_Access_Database[[#This Row],[LAND]],Tabelle_Abfrage_von_MS_Access_Database4[[LAND]:[Partnerland]],2,FALSE)</f>
        <v>Geschäftsreisen</v>
      </c>
      <c r="C8" s="57" t="s">
        <v>19</v>
      </c>
      <c r="D8" s="57" t="s">
        <v>51</v>
      </c>
      <c r="E8" s="64">
        <v>1546</v>
      </c>
      <c r="F8" s="64">
        <v>1549</v>
      </c>
      <c r="G8" s="64">
        <v>1533</v>
      </c>
      <c r="H8" s="64">
        <v>1582</v>
      </c>
      <c r="I8" s="64">
        <v>1622</v>
      </c>
      <c r="J8" s="64">
        <v>1718</v>
      </c>
      <c r="K8" s="64">
        <v>1757</v>
      </c>
      <c r="L8" s="64">
        <v>1826</v>
      </c>
      <c r="M8" s="64">
        <v>1865</v>
      </c>
      <c r="N8" s="64">
        <v>1990</v>
      </c>
      <c r="O8" s="64">
        <v>2314</v>
      </c>
      <c r="P8" s="64">
        <v>2433</v>
      </c>
      <c r="Q8" s="64">
        <v>2638</v>
      </c>
      <c r="R8" s="64">
        <v>2570</v>
      </c>
      <c r="S8" s="64">
        <v>2169</v>
      </c>
      <c r="T8" s="64">
        <v>2152</v>
      </c>
      <c r="U8" s="64">
        <v>2120</v>
      </c>
      <c r="V8" s="64">
        <v>2198</v>
      </c>
      <c r="W8" s="64">
        <v>2298</v>
      </c>
      <c r="X8" s="64">
        <v>2304</v>
      </c>
      <c r="Y8" s="64">
        <v>2297</v>
      </c>
      <c r="Z8" s="64">
        <v>2434</v>
      </c>
      <c r="AA8" s="64">
        <v>2439</v>
      </c>
      <c r="AB8" s="64">
        <v>2691</v>
      </c>
      <c r="AC8" s="64">
        <v>2940</v>
      </c>
      <c r="AD8" s="64">
        <v>1833</v>
      </c>
      <c r="AE8" s="64">
        <v>1758</v>
      </c>
      <c r="AF8" s="64">
        <v>2510</v>
      </c>
      <c r="AG8" s="64">
        <v>3232</v>
      </c>
      <c r="AH8" s="64">
        <v>3498</v>
      </c>
      <c r="AI8" s="64">
        <v>3664</v>
      </c>
    </row>
    <row r="9" spans="1:35" ht="14.5" x14ac:dyDescent="0.35">
      <c r="A9" s="57" t="s">
        <v>64</v>
      </c>
      <c r="B9" s="57" t="str">
        <f>VLOOKUP(Tabelle_Abfrage_von_MS_Access_Database[[#This Row],[LAND]],Tabelle_Abfrage_von_MS_Access_Database4[[LAND]:[Partnerland]],2,FALSE)</f>
        <v>Privatreisen</v>
      </c>
      <c r="C9" s="57" t="s">
        <v>19</v>
      </c>
      <c r="D9" s="57" t="s">
        <v>51</v>
      </c>
      <c r="E9" s="64">
        <v>8337</v>
      </c>
      <c r="F9" s="64">
        <v>8286</v>
      </c>
      <c r="G9" s="64">
        <v>8156</v>
      </c>
      <c r="H9" s="64">
        <v>8068</v>
      </c>
      <c r="I9" s="64">
        <v>8463</v>
      </c>
      <c r="J9" s="64">
        <v>8875</v>
      </c>
      <c r="K9" s="64">
        <v>9290</v>
      </c>
      <c r="L9" s="64">
        <v>9752</v>
      </c>
      <c r="M9" s="64">
        <v>10051</v>
      </c>
      <c r="N9" s="64">
        <v>10213</v>
      </c>
      <c r="O9" s="64">
        <v>10590</v>
      </c>
      <c r="P9" s="64">
        <v>10822</v>
      </c>
      <c r="Q9" s="64">
        <v>11003</v>
      </c>
      <c r="R9" s="64">
        <v>12107</v>
      </c>
      <c r="S9" s="64">
        <v>11727</v>
      </c>
      <c r="T9" s="64">
        <v>11875</v>
      </c>
      <c r="U9" s="64">
        <v>12147</v>
      </c>
      <c r="V9" s="64">
        <v>12508</v>
      </c>
      <c r="W9" s="64">
        <v>12939</v>
      </c>
      <c r="X9" s="64">
        <v>13371</v>
      </c>
      <c r="Y9" s="64">
        <v>14139</v>
      </c>
      <c r="Z9" s="64">
        <v>14967</v>
      </c>
      <c r="AA9" s="64">
        <v>15672</v>
      </c>
      <c r="AB9" s="64">
        <v>16868</v>
      </c>
      <c r="AC9" s="64">
        <v>17554</v>
      </c>
      <c r="AD9" s="64">
        <v>10292</v>
      </c>
      <c r="AE9" s="64">
        <v>7077</v>
      </c>
      <c r="AF9" s="64">
        <v>16208</v>
      </c>
      <c r="AG9" s="64">
        <v>19570</v>
      </c>
      <c r="AH9" s="64">
        <v>20804</v>
      </c>
      <c r="AI9" s="64">
        <v>22238</v>
      </c>
    </row>
    <row r="10" spans="1:35" ht="14.5" x14ac:dyDescent="0.35">
      <c r="A10" s="57" t="s">
        <v>10</v>
      </c>
      <c r="B10" s="57" t="str">
        <f>VLOOKUP(Tabelle_Abfrage_von_MS_Access_Database[[#This Row],[LAND]],Tabelle_Abfrage_von_MS_Access_Database4[[LAND]:[Partnerland]],2,FALSE)</f>
        <v>Bauleistungen im Ausland</v>
      </c>
      <c r="C10" s="57" t="s">
        <v>19</v>
      </c>
      <c r="D10" s="57" t="s">
        <v>51</v>
      </c>
      <c r="E10" s="64">
        <v>526</v>
      </c>
      <c r="F10" s="64">
        <v>527</v>
      </c>
      <c r="G10" s="64">
        <v>629</v>
      </c>
      <c r="H10" s="64">
        <v>628</v>
      </c>
      <c r="I10" s="64">
        <v>629</v>
      </c>
      <c r="J10" s="64">
        <v>600</v>
      </c>
      <c r="K10" s="64">
        <v>751</v>
      </c>
      <c r="L10" s="64">
        <v>660</v>
      </c>
      <c r="M10" s="64">
        <v>895</v>
      </c>
      <c r="N10" s="64">
        <v>916</v>
      </c>
      <c r="O10" s="64">
        <v>754</v>
      </c>
      <c r="P10" s="64">
        <v>768</v>
      </c>
      <c r="Q10" s="64">
        <v>995</v>
      </c>
      <c r="R10" s="64">
        <v>1160</v>
      </c>
      <c r="S10" s="64">
        <v>997</v>
      </c>
      <c r="T10" s="64">
        <v>880</v>
      </c>
      <c r="U10" s="64">
        <v>545</v>
      </c>
      <c r="V10" s="64">
        <v>578</v>
      </c>
      <c r="W10" s="64">
        <v>652</v>
      </c>
      <c r="X10" s="64">
        <v>587</v>
      </c>
      <c r="Y10" s="64">
        <v>671</v>
      </c>
      <c r="Z10" s="64">
        <v>687</v>
      </c>
      <c r="AA10" s="64">
        <v>737</v>
      </c>
      <c r="AB10" s="64">
        <v>843</v>
      </c>
      <c r="AC10" s="64">
        <v>849</v>
      </c>
      <c r="AD10" s="64">
        <v>853</v>
      </c>
      <c r="AE10" s="64">
        <v>826</v>
      </c>
      <c r="AF10" s="64">
        <v>971</v>
      </c>
      <c r="AG10" s="64">
        <v>1070</v>
      </c>
      <c r="AH10" s="64">
        <v>1186</v>
      </c>
      <c r="AI10" s="64">
        <v>1513</v>
      </c>
    </row>
    <row r="11" spans="1:35" ht="14.5" x14ac:dyDescent="0.35">
      <c r="A11" s="57" t="s">
        <v>65</v>
      </c>
      <c r="B11" s="57" t="str">
        <f>VLOOKUP(Tabelle_Abfrage_von_MS_Access_Database[[#This Row],[LAND]],Tabelle_Abfrage_von_MS_Access_Database4[[LAND]:[Partnerland]],2,FALSE)</f>
        <v>Bauleistungen im Inland</v>
      </c>
      <c r="C11" s="57" t="s">
        <v>19</v>
      </c>
      <c r="D11" s="57" t="s">
        <v>51</v>
      </c>
      <c r="E11" s="64">
        <v>36</v>
      </c>
      <c r="F11" s="64">
        <v>43</v>
      </c>
      <c r="G11" s="64">
        <v>50</v>
      </c>
      <c r="H11" s="64">
        <v>35</v>
      </c>
      <c r="I11" s="64">
        <v>35</v>
      </c>
      <c r="J11" s="64">
        <v>38</v>
      </c>
      <c r="K11" s="64">
        <v>27</v>
      </c>
      <c r="L11" s="64">
        <v>28</v>
      </c>
      <c r="M11" s="64">
        <v>24</v>
      </c>
      <c r="N11" s="64">
        <v>25</v>
      </c>
      <c r="O11" s="64">
        <v>41</v>
      </c>
      <c r="P11" s="64">
        <v>4</v>
      </c>
      <c r="Q11" s="64">
        <v>6</v>
      </c>
      <c r="R11" s="64">
        <v>7</v>
      </c>
      <c r="S11" s="64">
        <v>9</v>
      </c>
      <c r="T11" s="64">
        <v>4</v>
      </c>
      <c r="U11" s="64">
        <v>5</v>
      </c>
      <c r="V11" s="64">
        <v>7</v>
      </c>
      <c r="W11" s="64">
        <v>6</v>
      </c>
      <c r="X11" s="64">
        <v>5</v>
      </c>
      <c r="Y11" s="64">
        <v>8</v>
      </c>
      <c r="Z11" s="64">
        <v>28</v>
      </c>
      <c r="AA11" s="64">
        <v>40</v>
      </c>
      <c r="AB11" s="64">
        <v>30</v>
      </c>
      <c r="AC11" s="64">
        <v>33</v>
      </c>
      <c r="AD11" s="64">
        <v>34</v>
      </c>
      <c r="AE11" s="64">
        <v>51</v>
      </c>
      <c r="AF11" s="64">
        <v>46</v>
      </c>
      <c r="AG11" s="64">
        <v>23</v>
      </c>
      <c r="AH11" s="64">
        <v>35</v>
      </c>
      <c r="AI11" s="64">
        <v>24</v>
      </c>
    </row>
    <row r="12" spans="1:35" ht="14.5" x14ac:dyDescent="0.35">
      <c r="A12" s="57" t="s">
        <v>11</v>
      </c>
      <c r="B12" s="57" t="str">
        <f>VLOOKUP(Tabelle_Abfrage_von_MS_Access_Database[[#This Row],[LAND]],Tabelle_Abfrage_von_MS_Access_Database4[[LAND]:[Partnerland]],2,FALSE)</f>
        <v>Direktversicherungen</v>
      </c>
      <c r="C12" s="57" t="s">
        <v>19</v>
      </c>
      <c r="D12" s="57" t="s">
        <v>51</v>
      </c>
      <c r="E12" s="64">
        <v>16</v>
      </c>
      <c r="F12" s="64">
        <v>20</v>
      </c>
      <c r="G12" s="64">
        <v>11</v>
      </c>
      <c r="H12" s="64">
        <v>22</v>
      </c>
      <c r="I12" s="64">
        <v>33</v>
      </c>
      <c r="J12" s="64">
        <v>45</v>
      </c>
      <c r="K12" s="64">
        <v>33</v>
      </c>
      <c r="L12" s="64">
        <v>44</v>
      </c>
      <c r="M12" s="64">
        <v>74</v>
      </c>
      <c r="N12" s="64">
        <v>104</v>
      </c>
      <c r="O12" s="64">
        <v>147</v>
      </c>
      <c r="P12" s="64">
        <v>155</v>
      </c>
      <c r="Q12" s="64">
        <v>202</v>
      </c>
      <c r="R12" s="64">
        <v>224</v>
      </c>
      <c r="S12" s="64">
        <v>203</v>
      </c>
      <c r="T12" s="64">
        <v>307</v>
      </c>
      <c r="U12" s="64">
        <v>366</v>
      </c>
      <c r="V12" s="64">
        <v>410</v>
      </c>
      <c r="W12" s="64">
        <v>463</v>
      </c>
      <c r="X12" s="64">
        <v>265</v>
      </c>
      <c r="Y12" s="64">
        <v>254</v>
      </c>
      <c r="Z12" s="64">
        <v>272</v>
      </c>
      <c r="AA12" s="64">
        <v>232</v>
      </c>
      <c r="AB12" s="64">
        <v>227</v>
      </c>
      <c r="AC12" s="64">
        <v>243</v>
      </c>
      <c r="AD12" s="64">
        <v>244</v>
      </c>
      <c r="AE12" s="64">
        <v>225</v>
      </c>
      <c r="AF12" s="64">
        <v>312</v>
      </c>
      <c r="AG12" s="64">
        <v>355</v>
      </c>
      <c r="AH12" s="64">
        <v>367</v>
      </c>
      <c r="AI12" s="64">
        <v>331</v>
      </c>
    </row>
    <row r="13" spans="1:35" ht="14.5" x14ac:dyDescent="0.35">
      <c r="A13" s="57" t="s">
        <v>66</v>
      </c>
      <c r="B13" s="57" t="str">
        <f>VLOOKUP(Tabelle_Abfrage_von_MS_Access_Database[[#This Row],[LAND]],Tabelle_Abfrage_von_MS_Access_Database4[[LAND]:[Partnerland]],2,FALSE)</f>
        <v>Rückversicherung</v>
      </c>
      <c r="C13" s="57" t="s">
        <v>19</v>
      </c>
      <c r="D13" s="57" t="s">
        <v>51</v>
      </c>
      <c r="E13" s="64">
        <v>219</v>
      </c>
      <c r="F13" s="64">
        <v>217</v>
      </c>
      <c r="G13" s="64">
        <v>255</v>
      </c>
      <c r="H13" s="64">
        <v>235</v>
      </c>
      <c r="I13" s="64">
        <v>455</v>
      </c>
      <c r="J13" s="64">
        <v>686</v>
      </c>
      <c r="K13" s="64">
        <v>340</v>
      </c>
      <c r="L13" s="64">
        <v>429</v>
      </c>
      <c r="M13" s="64">
        <v>479</v>
      </c>
      <c r="N13" s="64">
        <v>590</v>
      </c>
      <c r="O13" s="64">
        <v>600</v>
      </c>
      <c r="P13" s="64">
        <v>420</v>
      </c>
      <c r="Q13" s="64">
        <v>747</v>
      </c>
      <c r="R13" s="64">
        <v>668</v>
      </c>
      <c r="S13" s="64">
        <v>659</v>
      </c>
      <c r="T13" s="64">
        <v>578</v>
      </c>
      <c r="U13" s="64">
        <v>313</v>
      </c>
      <c r="V13" s="64">
        <v>484</v>
      </c>
      <c r="W13" s="64">
        <v>367</v>
      </c>
      <c r="X13" s="64">
        <v>423</v>
      </c>
      <c r="Y13" s="64">
        <v>164</v>
      </c>
      <c r="Z13" s="64">
        <v>175</v>
      </c>
      <c r="AA13" s="64">
        <v>177</v>
      </c>
      <c r="AB13" s="64">
        <v>217</v>
      </c>
      <c r="AC13" s="64">
        <v>208</v>
      </c>
      <c r="AD13" s="64">
        <v>265</v>
      </c>
      <c r="AE13" s="64">
        <v>439</v>
      </c>
      <c r="AF13" s="64">
        <v>668</v>
      </c>
      <c r="AG13" s="64">
        <v>724</v>
      </c>
      <c r="AH13" s="64">
        <v>793</v>
      </c>
      <c r="AI13" s="64">
        <v>785</v>
      </c>
    </row>
    <row r="14" spans="1:35" ht="14.5" x14ac:dyDescent="0.35">
      <c r="A14" s="57" t="s">
        <v>12</v>
      </c>
      <c r="B14" s="57" t="str">
        <f>VLOOKUP(Tabelle_Abfrage_von_MS_Access_Database[[#This Row],[LAND]],Tabelle_Abfrage_von_MS_Access_Database4[[LAND]:[Partnerland]],2,FALSE)</f>
        <v>Versicherungshilfsdienste</v>
      </c>
      <c r="C14" s="57" t="s">
        <v>19</v>
      </c>
      <c r="D14" s="57" t="s">
        <v>51</v>
      </c>
      <c r="E14" s="64">
        <v>3</v>
      </c>
      <c r="F14" s="64">
        <v>4</v>
      </c>
      <c r="G14" s="64">
        <v>2</v>
      </c>
      <c r="H14" s="64">
        <v>4</v>
      </c>
      <c r="I14" s="64">
        <v>6</v>
      </c>
      <c r="J14" s="64">
        <v>8</v>
      </c>
      <c r="K14" s="64">
        <v>6</v>
      </c>
      <c r="L14" s="64">
        <v>8</v>
      </c>
      <c r="M14" s="64">
        <v>13</v>
      </c>
      <c r="N14" s="64">
        <v>19</v>
      </c>
      <c r="O14" s="64">
        <v>26</v>
      </c>
      <c r="P14" s="64">
        <v>27</v>
      </c>
      <c r="Q14" s="64">
        <v>36</v>
      </c>
      <c r="R14" s="64">
        <v>30</v>
      </c>
      <c r="S14" s="64">
        <v>33</v>
      </c>
      <c r="T14" s="64">
        <v>33</v>
      </c>
      <c r="U14" s="64">
        <v>45</v>
      </c>
      <c r="V14" s="64">
        <v>35</v>
      </c>
      <c r="W14" s="64">
        <v>37</v>
      </c>
      <c r="X14" s="64">
        <v>16</v>
      </c>
      <c r="Y14" s="64">
        <v>22</v>
      </c>
      <c r="Z14" s="64">
        <v>27</v>
      </c>
      <c r="AA14" s="64">
        <v>29</v>
      </c>
      <c r="AB14" s="64">
        <v>27</v>
      </c>
      <c r="AC14" s="64">
        <v>32</v>
      </c>
      <c r="AD14" s="64">
        <v>33</v>
      </c>
      <c r="AE14" s="64">
        <v>40</v>
      </c>
      <c r="AF14" s="64">
        <v>38</v>
      </c>
      <c r="AG14" s="64">
        <v>43</v>
      </c>
      <c r="AH14" s="64">
        <v>49</v>
      </c>
      <c r="AI14" s="64">
        <v>38</v>
      </c>
    </row>
    <row r="15" spans="1:35" ht="14.5" x14ac:dyDescent="0.35">
      <c r="A15" s="57" t="s">
        <v>67</v>
      </c>
      <c r="B15" s="57" t="str">
        <f>VLOOKUP(Tabelle_Abfrage_von_MS_Access_Database[[#This Row],[LAND]],Tabelle_Abfrage_von_MS_Access_Database4[[LAND]:[Partnerland]],2,FALSE)</f>
        <v>Finanzdienstleistungen im engeren Sinn</v>
      </c>
      <c r="C15" s="57" t="s">
        <v>19</v>
      </c>
      <c r="D15" s="57" t="s">
        <v>51</v>
      </c>
      <c r="E15" s="64">
        <v>429</v>
      </c>
      <c r="F15" s="64">
        <v>621</v>
      </c>
      <c r="G15" s="64">
        <v>434</v>
      </c>
      <c r="H15" s="64">
        <v>565</v>
      </c>
      <c r="I15" s="64">
        <v>733</v>
      </c>
      <c r="J15" s="64">
        <v>1295</v>
      </c>
      <c r="K15" s="64">
        <v>797</v>
      </c>
      <c r="L15" s="64">
        <v>666</v>
      </c>
      <c r="M15" s="64">
        <v>515</v>
      </c>
      <c r="N15" s="64">
        <v>569</v>
      </c>
      <c r="O15" s="64">
        <v>938</v>
      </c>
      <c r="P15" s="64">
        <v>865</v>
      </c>
      <c r="Q15" s="64">
        <v>1336</v>
      </c>
      <c r="R15" s="64">
        <v>1284</v>
      </c>
      <c r="S15" s="64">
        <v>954</v>
      </c>
      <c r="T15" s="64">
        <v>1064</v>
      </c>
      <c r="U15" s="64">
        <v>1137</v>
      </c>
      <c r="V15" s="64">
        <v>1048</v>
      </c>
      <c r="W15" s="64">
        <v>943</v>
      </c>
      <c r="X15" s="64">
        <v>1002</v>
      </c>
      <c r="Y15" s="64">
        <v>1032</v>
      </c>
      <c r="Z15" s="64">
        <v>984</v>
      </c>
      <c r="AA15" s="64">
        <v>1011</v>
      </c>
      <c r="AB15" s="64">
        <v>1092</v>
      </c>
      <c r="AC15" s="64">
        <v>1078</v>
      </c>
      <c r="AD15" s="64">
        <v>903</v>
      </c>
      <c r="AE15" s="64">
        <v>1205</v>
      </c>
      <c r="AF15" s="64">
        <v>1128</v>
      </c>
      <c r="AG15" s="64">
        <v>1113</v>
      </c>
      <c r="AH15" s="64">
        <v>1203</v>
      </c>
      <c r="AI15" s="64">
        <v>1284</v>
      </c>
    </row>
    <row r="16" spans="1:35" ht="14.5" x14ac:dyDescent="0.35">
      <c r="A16" s="57" t="s">
        <v>68</v>
      </c>
      <c r="B16" s="57" t="str">
        <f>VLOOKUP(Tabelle_Abfrage_von_MS_Access_Database[[#This Row],[LAND]],Tabelle_Abfrage_von_MS_Access_Database4[[LAND]:[Partnerland]],2,FALSE)</f>
        <v>unterstellte Bankgebühr (FISIM)</v>
      </c>
      <c r="C16" s="57" t="s">
        <v>19</v>
      </c>
      <c r="D16" s="57" t="s">
        <v>51</v>
      </c>
      <c r="E16" s="64">
        <v>361</v>
      </c>
      <c r="F16" s="64">
        <v>431</v>
      </c>
      <c r="G16" s="64">
        <v>512</v>
      </c>
      <c r="H16" s="64">
        <v>484</v>
      </c>
      <c r="I16" s="64">
        <v>561</v>
      </c>
      <c r="J16" s="64">
        <v>647</v>
      </c>
      <c r="K16" s="64">
        <v>617</v>
      </c>
      <c r="L16" s="64">
        <v>612</v>
      </c>
      <c r="M16" s="64">
        <v>618</v>
      </c>
      <c r="N16" s="64">
        <v>534</v>
      </c>
      <c r="O16" s="64">
        <v>500</v>
      </c>
      <c r="P16" s="64">
        <v>521</v>
      </c>
      <c r="Q16" s="64">
        <v>886</v>
      </c>
      <c r="R16" s="64">
        <v>1420</v>
      </c>
      <c r="S16" s="64">
        <v>986</v>
      </c>
      <c r="T16" s="64">
        <v>804</v>
      </c>
      <c r="U16" s="64">
        <v>1195</v>
      </c>
      <c r="V16" s="64">
        <v>1186</v>
      </c>
      <c r="W16" s="64">
        <v>1425</v>
      </c>
      <c r="X16" s="64">
        <v>1483</v>
      </c>
      <c r="Y16" s="64">
        <v>1296</v>
      </c>
      <c r="Z16" s="64">
        <v>1371</v>
      </c>
      <c r="AA16" s="64">
        <v>1425</v>
      </c>
      <c r="AB16" s="64">
        <v>1383</v>
      </c>
      <c r="AC16" s="64">
        <v>1316</v>
      </c>
      <c r="AD16" s="64">
        <v>1101</v>
      </c>
      <c r="AE16" s="64">
        <v>1310</v>
      </c>
      <c r="AF16" s="64">
        <v>1734</v>
      </c>
      <c r="AG16" s="64">
        <v>1078</v>
      </c>
      <c r="AH16" s="64">
        <v>817</v>
      </c>
      <c r="AI16" s="64">
        <v>1309</v>
      </c>
    </row>
    <row r="17" spans="1:35" ht="14.5" x14ac:dyDescent="0.35">
      <c r="A17" s="57" t="s">
        <v>69</v>
      </c>
      <c r="B17" s="57" t="str">
        <f>VLOOKUP(Tabelle_Abfrage_von_MS_Access_Database[[#This Row],[LAND]],Tabelle_Abfrage_von_MS_Access_Database4[[LAND]:[Partnerland]],2,FALSE)</f>
        <v>Patente, Lizenzen, Franchisen</v>
      </c>
      <c r="C17" s="57" t="s">
        <v>19</v>
      </c>
      <c r="D17" s="57" t="s">
        <v>51</v>
      </c>
      <c r="E17" s="64">
        <v>126</v>
      </c>
      <c r="F17" s="64">
        <v>182</v>
      </c>
      <c r="G17" s="64">
        <v>223</v>
      </c>
      <c r="H17" s="64">
        <v>156</v>
      </c>
      <c r="I17" s="64">
        <v>186</v>
      </c>
      <c r="J17" s="64">
        <v>266</v>
      </c>
      <c r="K17" s="64">
        <v>281</v>
      </c>
      <c r="L17" s="64">
        <v>364</v>
      </c>
      <c r="M17" s="64">
        <v>428</v>
      </c>
      <c r="N17" s="64">
        <v>410</v>
      </c>
      <c r="O17" s="64">
        <v>437</v>
      </c>
      <c r="P17" s="64">
        <v>561</v>
      </c>
      <c r="Q17" s="64">
        <v>686</v>
      </c>
      <c r="R17" s="64">
        <v>804</v>
      </c>
      <c r="S17" s="64">
        <v>717</v>
      </c>
      <c r="T17" s="64">
        <v>698</v>
      </c>
      <c r="U17" s="64">
        <v>748</v>
      </c>
      <c r="V17" s="64">
        <v>853</v>
      </c>
      <c r="W17" s="64">
        <v>808</v>
      </c>
      <c r="X17" s="64">
        <v>966</v>
      </c>
      <c r="Y17" s="64">
        <v>949</v>
      </c>
      <c r="Z17" s="64">
        <v>1059</v>
      </c>
      <c r="AA17" s="64">
        <v>1140</v>
      </c>
      <c r="AB17" s="64">
        <v>1159</v>
      </c>
      <c r="AC17" s="64">
        <v>1280</v>
      </c>
      <c r="AD17" s="64">
        <v>1339</v>
      </c>
      <c r="AE17" s="64">
        <v>1453</v>
      </c>
      <c r="AF17" s="64">
        <v>1609</v>
      </c>
      <c r="AG17" s="64">
        <v>1717</v>
      </c>
      <c r="AH17" s="64">
        <v>1836</v>
      </c>
      <c r="AI17" s="64">
        <v>2040</v>
      </c>
    </row>
    <row r="18" spans="1:35" ht="14.5" x14ac:dyDescent="0.35">
      <c r="A18" s="57" t="s">
        <v>13</v>
      </c>
      <c r="B18" s="57" t="str">
        <f>VLOOKUP(Tabelle_Abfrage_von_MS_Access_Database[[#This Row],[LAND]],Tabelle_Abfrage_von_MS_Access_Database4[[LAND]:[Partnerland]],2,FALSE)</f>
        <v>Telekommunikation</v>
      </c>
      <c r="C18" s="57" t="s">
        <v>19</v>
      </c>
      <c r="D18" s="57" t="s">
        <v>51</v>
      </c>
      <c r="E18" s="64">
        <v>174</v>
      </c>
      <c r="F18" s="64">
        <v>207</v>
      </c>
      <c r="G18" s="64">
        <v>225</v>
      </c>
      <c r="H18" s="64">
        <v>301</v>
      </c>
      <c r="I18" s="64">
        <v>320</v>
      </c>
      <c r="J18" s="64">
        <v>417</v>
      </c>
      <c r="K18" s="64">
        <v>495</v>
      </c>
      <c r="L18" s="64">
        <v>555</v>
      </c>
      <c r="M18" s="64">
        <v>476</v>
      </c>
      <c r="N18" s="64">
        <v>445</v>
      </c>
      <c r="O18" s="64">
        <v>607</v>
      </c>
      <c r="P18" s="64">
        <v>772</v>
      </c>
      <c r="Q18" s="64">
        <v>813</v>
      </c>
      <c r="R18" s="64">
        <v>820</v>
      </c>
      <c r="S18" s="64">
        <v>785</v>
      </c>
      <c r="T18" s="64">
        <v>692</v>
      </c>
      <c r="U18" s="64">
        <v>663</v>
      </c>
      <c r="V18" s="64">
        <v>711</v>
      </c>
      <c r="W18" s="64">
        <v>664</v>
      </c>
      <c r="X18" s="64">
        <v>663</v>
      </c>
      <c r="Y18" s="64">
        <v>664</v>
      </c>
      <c r="Z18" s="64">
        <v>799</v>
      </c>
      <c r="AA18" s="64">
        <v>779</v>
      </c>
      <c r="AB18" s="64">
        <v>726</v>
      </c>
      <c r="AC18" s="64">
        <v>738</v>
      </c>
      <c r="AD18" s="64">
        <v>705</v>
      </c>
      <c r="AE18" s="64">
        <v>757</v>
      </c>
      <c r="AF18" s="64">
        <v>800</v>
      </c>
      <c r="AG18" s="64">
        <v>711</v>
      </c>
      <c r="AH18" s="64">
        <v>700</v>
      </c>
      <c r="AI18" s="64">
        <v>654</v>
      </c>
    </row>
    <row r="19" spans="1:35" ht="14.5" x14ac:dyDescent="0.35">
      <c r="A19" s="57" t="s">
        <v>14</v>
      </c>
      <c r="B19" s="57" t="str">
        <f>VLOOKUP(Tabelle_Abfrage_von_MS_Access_Database[[#This Row],[LAND]],Tabelle_Abfrage_von_MS_Access_Database4[[LAND]:[Partnerland]],2,FALSE)</f>
        <v>EDV-Dienstleistungen</v>
      </c>
      <c r="C19" s="57" t="s">
        <v>19</v>
      </c>
      <c r="D19" s="57" t="s">
        <v>51</v>
      </c>
      <c r="E19" s="64">
        <v>210</v>
      </c>
      <c r="F19" s="64">
        <v>260</v>
      </c>
      <c r="G19" s="64">
        <v>316</v>
      </c>
      <c r="H19" s="64">
        <v>365</v>
      </c>
      <c r="I19" s="64">
        <v>416</v>
      </c>
      <c r="J19" s="64">
        <v>537</v>
      </c>
      <c r="K19" s="64">
        <v>690</v>
      </c>
      <c r="L19" s="64">
        <v>699</v>
      </c>
      <c r="M19" s="64">
        <v>873</v>
      </c>
      <c r="N19" s="64">
        <v>972</v>
      </c>
      <c r="O19" s="64">
        <v>1249</v>
      </c>
      <c r="P19" s="64">
        <v>1431</v>
      </c>
      <c r="Q19" s="64">
        <v>1581</v>
      </c>
      <c r="R19" s="64">
        <v>1752</v>
      </c>
      <c r="S19" s="64">
        <v>1740</v>
      </c>
      <c r="T19" s="64">
        <v>1861</v>
      </c>
      <c r="U19" s="64">
        <v>2407</v>
      </c>
      <c r="V19" s="64">
        <v>3007</v>
      </c>
      <c r="W19" s="64">
        <v>3449</v>
      </c>
      <c r="X19" s="64">
        <v>4050</v>
      </c>
      <c r="Y19" s="64">
        <v>4076</v>
      </c>
      <c r="Z19" s="64">
        <v>4194</v>
      </c>
      <c r="AA19" s="64">
        <v>4718</v>
      </c>
      <c r="AB19" s="64">
        <v>5573</v>
      </c>
      <c r="AC19" s="64">
        <v>6522</v>
      </c>
      <c r="AD19" s="64">
        <v>6706</v>
      </c>
      <c r="AE19" s="64">
        <v>7290</v>
      </c>
      <c r="AF19" s="64">
        <v>8299</v>
      </c>
      <c r="AG19" s="64">
        <v>9011</v>
      </c>
      <c r="AH19" s="64">
        <v>9879</v>
      </c>
      <c r="AI19" s="64">
        <v>10783</v>
      </c>
    </row>
    <row r="20" spans="1:35" ht="14.5" x14ac:dyDescent="0.35">
      <c r="A20" s="57" t="s">
        <v>70</v>
      </c>
      <c r="B20" s="57" t="str">
        <f>VLOOKUP(Tabelle_Abfrage_von_MS_Access_Database[[#This Row],[LAND]],Tabelle_Abfrage_von_MS_Access_Database4[[LAND]:[Partnerland]],2,FALSE)</f>
        <v>Informationsdienstleistungen</v>
      </c>
      <c r="C20" s="57" t="s">
        <v>19</v>
      </c>
      <c r="D20" s="57" t="s">
        <v>51</v>
      </c>
      <c r="E20" s="64">
        <v>9</v>
      </c>
      <c r="F20" s="64">
        <v>11</v>
      </c>
      <c r="G20" s="64">
        <v>13</v>
      </c>
      <c r="H20" s="64">
        <v>15</v>
      </c>
      <c r="I20" s="64">
        <v>40</v>
      </c>
      <c r="J20" s="64">
        <v>54</v>
      </c>
      <c r="K20" s="64">
        <v>64</v>
      </c>
      <c r="L20" s="64">
        <v>73</v>
      </c>
      <c r="M20" s="64">
        <v>76</v>
      </c>
      <c r="N20" s="64">
        <v>90</v>
      </c>
      <c r="O20" s="64">
        <v>122</v>
      </c>
      <c r="P20" s="64">
        <v>171</v>
      </c>
      <c r="Q20" s="64">
        <v>203</v>
      </c>
      <c r="R20" s="64">
        <v>275</v>
      </c>
      <c r="S20" s="64">
        <v>255</v>
      </c>
      <c r="T20" s="64">
        <v>231</v>
      </c>
      <c r="U20" s="64">
        <v>150</v>
      </c>
      <c r="V20" s="64">
        <v>186</v>
      </c>
      <c r="W20" s="64">
        <v>231</v>
      </c>
      <c r="X20" s="64">
        <v>231</v>
      </c>
      <c r="Y20" s="64">
        <v>273</v>
      </c>
      <c r="Z20" s="64">
        <v>256</v>
      </c>
      <c r="AA20" s="64">
        <v>270</v>
      </c>
      <c r="AB20" s="64">
        <v>285</v>
      </c>
      <c r="AC20" s="64">
        <v>344</v>
      </c>
      <c r="AD20" s="64">
        <v>418</v>
      </c>
      <c r="AE20" s="64">
        <v>421</v>
      </c>
      <c r="AF20" s="64">
        <v>537</v>
      </c>
      <c r="AG20" s="64">
        <v>579</v>
      </c>
      <c r="AH20" s="64">
        <v>624</v>
      </c>
      <c r="AI20" s="64">
        <v>636</v>
      </c>
    </row>
    <row r="21" spans="1:35" ht="14.5" x14ac:dyDescent="0.35">
      <c r="A21" s="57" t="s">
        <v>71</v>
      </c>
      <c r="B21" s="57" t="str">
        <f>VLOOKUP(Tabelle_Abfrage_von_MS_Access_Database[[#This Row],[LAND]],Tabelle_Abfrage_von_MS_Access_Database4[[LAND]:[Partnerland]],2,FALSE)</f>
        <v>Forschungs- und Entwicklungsleistungen</v>
      </c>
      <c r="C21" s="57" t="s">
        <v>19</v>
      </c>
      <c r="D21" s="57" t="s">
        <v>51</v>
      </c>
      <c r="E21" s="64">
        <v>186</v>
      </c>
      <c r="F21" s="64">
        <v>220</v>
      </c>
      <c r="G21" s="64">
        <v>242</v>
      </c>
      <c r="H21" s="64">
        <v>414</v>
      </c>
      <c r="I21" s="64">
        <v>418</v>
      </c>
      <c r="J21" s="64">
        <v>564</v>
      </c>
      <c r="K21" s="64">
        <v>867</v>
      </c>
      <c r="L21" s="64">
        <v>833</v>
      </c>
      <c r="M21" s="64">
        <v>978</v>
      </c>
      <c r="N21" s="64">
        <v>1093</v>
      </c>
      <c r="O21" s="64">
        <v>1299</v>
      </c>
      <c r="P21" s="64">
        <v>1575</v>
      </c>
      <c r="Q21" s="64">
        <v>1707</v>
      </c>
      <c r="R21" s="64">
        <v>1680</v>
      </c>
      <c r="S21" s="64">
        <v>1591</v>
      </c>
      <c r="T21" s="64">
        <v>1544</v>
      </c>
      <c r="U21" s="64">
        <v>1848</v>
      </c>
      <c r="V21" s="64">
        <v>1720</v>
      </c>
      <c r="W21" s="64">
        <v>1574</v>
      </c>
      <c r="X21" s="64">
        <v>1998</v>
      </c>
      <c r="Y21" s="64">
        <v>2146</v>
      </c>
      <c r="Z21" s="64">
        <v>2119</v>
      </c>
      <c r="AA21" s="64">
        <v>2349</v>
      </c>
      <c r="AB21" s="64">
        <v>2476</v>
      </c>
      <c r="AC21" s="64">
        <v>2604</v>
      </c>
      <c r="AD21" s="64">
        <v>2375</v>
      </c>
      <c r="AE21" s="64">
        <v>2633</v>
      </c>
      <c r="AF21" s="64">
        <v>2983</v>
      </c>
      <c r="AG21" s="64">
        <v>3155</v>
      </c>
      <c r="AH21" s="64">
        <v>3785</v>
      </c>
      <c r="AI21" s="64">
        <v>3601</v>
      </c>
    </row>
    <row r="22" spans="1:35" ht="14.5" x14ac:dyDescent="0.35">
      <c r="A22" s="57" t="s">
        <v>15</v>
      </c>
      <c r="B22" s="57" t="str">
        <f>VLOOKUP(Tabelle_Abfrage_von_MS_Access_Database[[#This Row],[LAND]],Tabelle_Abfrage_von_MS_Access_Database4[[LAND]:[Partnerland]],2,FALSE)</f>
        <v>Rechts- und Wirtschaftsdienste, Werbung und Marktforschung</v>
      </c>
      <c r="C22" s="57" t="s">
        <v>19</v>
      </c>
      <c r="D22" s="57" t="s">
        <v>51</v>
      </c>
      <c r="E22" s="64">
        <v>512</v>
      </c>
      <c r="F22" s="64">
        <v>665</v>
      </c>
      <c r="G22" s="64">
        <v>697</v>
      </c>
      <c r="H22" s="64">
        <v>858</v>
      </c>
      <c r="I22" s="64">
        <v>922</v>
      </c>
      <c r="J22" s="64">
        <v>1185</v>
      </c>
      <c r="K22" s="64">
        <v>1381</v>
      </c>
      <c r="L22" s="64">
        <v>1413</v>
      </c>
      <c r="M22" s="64">
        <v>1330</v>
      </c>
      <c r="N22" s="64">
        <v>1308</v>
      </c>
      <c r="O22" s="64">
        <v>1480</v>
      </c>
      <c r="P22" s="64">
        <v>1519</v>
      </c>
      <c r="Q22" s="64">
        <v>1685</v>
      </c>
      <c r="R22" s="64">
        <v>1810</v>
      </c>
      <c r="S22" s="64">
        <v>1643</v>
      </c>
      <c r="T22" s="64">
        <v>1659</v>
      </c>
      <c r="U22" s="64">
        <v>1943</v>
      </c>
      <c r="V22" s="64">
        <v>2239</v>
      </c>
      <c r="W22" s="64">
        <v>2621</v>
      </c>
      <c r="X22" s="64">
        <v>2899</v>
      </c>
      <c r="Y22" s="64">
        <v>3032</v>
      </c>
      <c r="Z22" s="64">
        <v>3146</v>
      </c>
      <c r="AA22" s="64">
        <v>3386</v>
      </c>
      <c r="AB22" s="64">
        <v>3639</v>
      </c>
      <c r="AC22" s="64">
        <v>3987</v>
      </c>
      <c r="AD22" s="64">
        <v>3675</v>
      </c>
      <c r="AE22" s="64">
        <v>3734</v>
      </c>
      <c r="AF22" s="64">
        <v>4395</v>
      </c>
      <c r="AG22" s="64">
        <v>4729</v>
      </c>
      <c r="AH22" s="64">
        <v>5153</v>
      </c>
      <c r="AI22" s="64">
        <v>5313</v>
      </c>
    </row>
    <row r="23" spans="1:35" ht="14.5" x14ac:dyDescent="0.35">
      <c r="A23" s="57" t="s">
        <v>16</v>
      </c>
      <c r="B23" s="57" t="str">
        <f>VLOOKUP(Tabelle_Abfrage_von_MS_Access_Database[[#This Row],[LAND]],Tabelle_Abfrage_von_MS_Access_Database4[[LAND]:[Partnerland]],2,FALSE)</f>
        <v>Technische, Handels- und sonstige unternehmensbezogene Dienstleistungen</v>
      </c>
      <c r="C23" s="57" t="s">
        <v>19</v>
      </c>
      <c r="D23" s="57" t="s">
        <v>51</v>
      </c>
      <c r="E23" s="64">
        <v>1589</v>
      </c>
      <c r="F23" s="64">
        <v>1745</v>
      </c>
      <c r="G23" s="64">
        <v>1788</v>
      </c>
      <c r="H23" s="64">
        <v>2260</v>
      </c>
      <c r="I23" s="64">
        <v>2233</v>
      </c>
      <c r="J23" s="64">
        <v>2414</v>
      </c>
      <c r="K23" s="64">
        <v>2859</v>
      </c>
      <c r="L23" s="64">
        <v>2882</v>
      </c>
      <c r="M23" s="64">
        <v>3018</v>
      </c>
      <c r="N23" s="64">
        <v>2997</v>
      </c>
      <c r="O23" s="64">
        <v>3378</v>
      </c>
      <c r="P23" s="64">
        <v>3604</v>
      </c>
      <c r="Q23" s="64">
        <v>3764</v>
      </c>
      <c r="R23" s="64">
        <v>4248</v>
      </c>
      <c r="S23" s="64">
        <v>3858</v>
      </c>
      <c r="T23" s="64">
        <v>3940</v>
      </c>
      <c r="U23" s="64">
        <v>4730</v>
      </c>
      <c r="V23" s="64">
        <v>5525</v>
      </c>
      <c r="W23" s="64">
        <v>6028</v>
      </c>
      <c r="X23" s="64">
        <v>6138</v>
      </c>
      <c r="Y23" s="64">
        <v>6487</v>
      </c>
      <c r="Z23" s="64">
        <v>6972</v>
      </c>
      <c r="AA23" s="64">
        <v>7633</v>
      </c>
      <c r="AB23" s="64">
        <v>8922</v>
      </c>
      <c r="AC23" s="64">
        <v>9162</v>
      </c>
      <c r="AD23" s="64">
        <v>8910</v>
      </c>
      <c r="AE23" s="64">
        <v>10780</v>
      </c>
      <c r="AF23" s="64">
        <v>11012</v>
      </c>
      <c r="AG23" s="64">
        <v>11898</v>
      </c>
      <c r="AH23" s="64">
        <v>13154</v>
      </c>
      <c r="AI23" s="64">
        <v>13321</v>
      </c>
    </row>
    <row r="24" spans="1:35" ht="14.5" x14ac:dyDescent="0.35">
      <c r="A24" s="57" t="s">
        <v>104</v>
      </c>
      <c r="B24" s="57" t="str">
        <f>VLOOKUP(Tabelle_Abfrage_von_MS_Access_Database[[#This Row],[LAND]],Tabelle_Abfrage_von_MS_Access_Database4[[LAND]:[Partnerland]],2,FALSE)</f>
        <v>Audiovisuelle und künstlerische Dienstleistungen</v>
      </c>
      <c r="C24" s="57" t="s">
        <v>19</v>
      </c>
      <c r="D24" s="57" t="s">
        <v>51</v>
      </c>
      <c r="E24" s="64">
        <v>28</v>
      </c>
      <c r="F24" s="64">
        <v>37</v>
      </c>
      <c r="G24" s="64">
        <v>45</v>
      </c>
      <c r="H24" s="64">
        <v>45</v>
      </c>
      <c r="I24" s="64">
        <v>51</v>
      </c>
      <c r="J24" s="64">
        <v>50</v>
      </c>
      <c r="K24" s="64">
        <v>57</v>
      </c>
      <c r="L24" s="64">
        <v>52</v>
      </c>
      <c r="M24" s="64">
        <v>56</v>
      </c>
      <c r="N24" s="64">
        <v>63</v>
      </c>
      <c r="O24" s="64">
        <v>69</v>
      </c>
      <c r="P24" s="64">
        <v>74</v>
      </c>
      <c r="Q24" s="64">
        <v>57</v>
      </c>
      <c r="R24" s="64">
        <v>58</v>
      </c>
      <c r="S24" s="64">
        <v>56</v>
      </c>
      <c r="T24" s="64">
        <v>48</v>
      </c>
      <c r="U24" s="64">
        <v>63</v>
      </c>
      <c r="V24" s="64">
        <v>93</v>
      </c>
      <c r="W24" s="64">
        <v>84</v>
      </c>
      <c r="X24" s="64">
        <v>101</v>
      </c>
      <c r="Y24" s="64">
        <v>100</v>
      </c>
      <c r="Z24" s="64">
        <v>115</v>
      </c>
      <c r="AA24" s="64">
        <v>114</v>
      </c>
      <c r="AB24" s="64">
        <v>124</v>
      </c>
      <c r="AC24" s="64">
        <v>181</v>
      </c>
      <c r="AD24" s="64">
        <v>119</v>
      </c>
      <c r="AE24" s="64">
        <v>139</v>
      </c>
      <c r="AF24" s="64">
        <v>159</v>
      </c>
      <c r="AG24" s="64">
        <v>167</v>
      </c>
      <c r="AH24" s="64">
        <v>230</v>
      </c>
      <c r="AI24" s="64">
        <v>193</v>
      </c>
    </row>
    <row r="25" spans="1:35" ht="14.5" x14ac:dyDescent="0.35">
      <c r="A25" s="57" t="s">
        <v>105</v>
      </c>
      <c r="B25" s="57" t="str">
        <f>VLOOKUP(Tabelle_Abfrage_von_MS_Access_Database[[#This Row],[LAND]],Tabelle_Abfrage_von_MS_Access_Database4[[LAND]:[Partnerland]],2,FALSE)</f>
        <v>Gesundheitsdienstleistungen</v>
      </c>
      <c r="C25" s="57" t="s">
        <v>19</v>
      </c>
      <c r="D25" s="57" t="s">
        <v>51</v>
      </c>
      <c r="E25" s="64">
        <v>29</v>
      </c>
      <c r="F25" s="64">
        <v>38</v>
      </c>
      <c r="G25" s="64">
        <v>45</v>
      </c>
      <c r="H25" s="64">
        <v>46</v>
      </c>
      <c r="I25" s="64">
        <v>51</v>
      </c>
      <c r="J25" s="64">
        <v>50</v>
      </c>
      <c r="K25" s="64">
        <v>58</v>
      </c>
      <c r="L25" s="64">
        <v>53</v>
      </c>
      <c r="M25" s="64">
        <v>57</v>
      </c>
      <c r="N25" s="64">
        <v>64</v>
      </c>
      <c r="O25" s="64">
        <v>69</v>
      </c>
      <c r="P25" s="64">
        <v>54</v>
      </c>
      <c r="Q25" s="64">
        <v>95</v>
      </c>
      <c r="R25" s="64">
        <v>129</v>
      </c>
      <c r="S25" s="64">
        <v>119</v>
      </c>
      <c r="T25" s="64">
        <v>136</v>
      </c>
      <c r="U25" s="64">
        <v>152</v>
      </c>
      <c r="V25" s="64">
        <v>126</v>
      </c>
      <c r="W25" s="64">
        <v>201</v>
      </c>
      <c r="X25" s="64">
        <v>217</v>
      </c>
      <c r="Y25" s="64">
        <v>222</v>
      </c>
      <c r="Z25" s="64">
        <v>257</v>
      </c>
      <c r="AA25" s="64">
        <v>284</v>
      </c>
      <c r="AB25" s="64">
        <v>246</v>
      </c>
      <c r="AC25" s="64">
        <v>285</v>
      </c>
      <c r="AD25" s="64">
        <v>254</v>
      </c>
      <c r="AE25" s="64">
        <v>280</v>
      </c>
      <c r="AF25" s="64">
        <v>272</v>
      </c>
      <c r="AG25" s="64">
        <v>258</v>
      </c>
      <c r="AH25" s="64">
        <v>296</v>
      </c>
      <c r="AI25" s="64">
        <v>280</v>
      </c>
    </row>
    <row r="26" spans="1:35" ht="14.5" x14ac:dyDescent="0.35">
      <c r="A26" s="57" t="s">
        <v>106</v>
      </c>
      <c r="B26" s="57" t="str">
        <f>VLOOKUP(Tabelle_Abfrage_von_MS_Access_Database[[#This Row],[LAND]],Tabelle_Abfrage_von_MS_Access_Database4[[LAND]:[Partnerland]],2,FALSE)</f>
        <v>Bildungsdienstleistungen</v>
      </c>
      <c r="C26" s="57" t="s">
        <v>19</v>
      </c>
      <c r="D26" s="57" t="s">
        <v>51</v>
      </c>
      <c r="E26" s="64">
        <v>6</v>
      </c>
      <c r="F26" s="64">
        <v>8</v>
      </c>
      <c r="G26" s="64">
        <v>9</v>
      </c>
      <c r="H26" s="64">
        <v>9</v>
      </c>
      <c r="I26" s="64">
        <v>10</v>
      </c>
      <c r="J26" s="64">
        <v>10</v>
      </c>
      <c r="K26" s="64">
        <v>12</v>
      </c>
      <c r="L26" s="64">
        <v>11</v>
      </c>
      <c r="M26" s="64">
        <v>12</v>
      </c>
      <c r="N26" s="64">
        <v>13</v>
      </c>
      <c r="O26" s="64">
        <v>14</v>
      </c>
      <c r="P26" s="64">
        <v>15</v>
      </c>
      <c r="Q26" s="64">
        <v>12</v>
      </c>
      <c r="R26" s="64">
        <v>16</v>
      </c>
      <c r="S26" s="64">
        <v>14</v>
      </c>
      <c r="T26" s="64">
        <v>18</v>
      </c>
      <c r="U26" s="64">
        <v>24</v>
      </c>
      <c r="V26" s="64">
        <v>35</v>
      </c>
      <c r="W26" s="64">
        <v>38</v>
      </c>
      <c r="X26" s="64">
        <v>32</v>
      </c>
      <c r="Y26" s="64">
        <v>34</v>
      </c>
      <c r="Z26" s="64">
        <v>28</v>
      </c>
      <c r="AA26" s="64">
        <v>40</v>
      </c>
      <c r="AB26" s="64">
        <v>40</v>
      </c>
      <c r="AC26" s="64">
        <v>41</v>
      </c>
      <c r="AD26" s="64">
        <v>35</v>
      </c>
      <c r="AE26" s="64">
        <v>54</v>
      </c>
      <c r="AF26" s="64">
        <v>106</v>
      </c>
      <c r="AG26" s="64">
        <v>102</v>
      </c>
      <c r="AH26" s="64">
        <v>116</v>
      </c>
      <c r="AI26" s="64">
        <v>100</v>
      </c>
    </row>
    <row r="27" spans="1:35" ht="14.5" x14ac:dyDescent="0.35">
      <c r="A27" s="57" t="s">
        <v>107</v>
      </c>
      <c r="B27" s="57" t="str">
        <f>VLOOKUP(Tabelle_Abfrage_von_MS_Access_Database[[#This Row],[LAND]],Tabelle_Abfrage_von_MS_Access_Database4[[LAND]:[Partnerland]],2,FALSE)</f>
        <v>Dienstleistungen für Kultur und Freizeit</v>
      </c>
      <c r="C27" s="57" t="s">
        <v>19</v>
      </c>
      <c r="D27" s="57" t="s">
        <v>51</v>
      </c>
      <c r="E27" s="65"/>
      <c r="F27" s="65"/>
      <c r="G27" s="65"/>
      <c r="H27" s="65"/>
      <c r="I27" s="65"/>
      <c r="J27" s="65"/>
      <c r="K27" s="65"/>
      <c r="L27" s="65"/>
      <c r="M27" s="65"/>
      <c r="N27" s="65"/>
      <c r="O27" s="65"/>
      <c r="P27" s="65"/>
      <c r="Q27" s="65"/>
      <c r="R27" s="65"/>
      <c r="S27" s="65"/>
      <c r="T27" s="65"/>
      <c r="U27" s="65"/>
      <c r="V27" s="65"/>
      <c r="W27" s="64">
        <v>24</v>
      </c>
      <c r="X27" s="64">
        <v>21</v>
      </c>
      <c r="Y27" s="64">
        <v>13</v>
      </c>
      <c r="Z27" s="64">
        <v>21</v>
      </c>
      <c r="AA27" s="64">
        <v>30</v>
      </c>
      <c r="AB27" s="64">
        <v>33</v>
      </c>
      <c r="AC27" s="64">
        <v>32</v>
      </c>
      <c r="AD27" s="64">
        <v>23</v>
      </c>
      <c r="AE27" s="64">
        <v>26</v>
      </c>
      <c r="AF27" s="64">
        <v>39</v>
      </c>
      <c r="AG27" s="64">
        <v>49</v>
      </c>
      <c r="AH27" s="64">
        <v>48</v>
      </c>
      <c r="AI27" s="64">
        <v>33</v>
      </c>
    </row>
    <row r="28" spans="1:35" ht="14.5" x14ac:dyDescent="0.35">
      <c r="A28" s="57" t="s">
        <v>108</v>
      </c>
      <c r="B28" s="57" t="str">
        <f>VLOOKUP(Tabelle_Abfrage_von_MS_Access_Database[[#This Row],[LAND]],Tabelle_Abfrage_von_MS_Access_Database4[[LAND]:[Partnerland]],2,FALSE)</f>
        <v>übrige persönliche Dienstleistungen</v>
      </c>
      <c r="C28" s="57" t="s">
        <v>19</v>
      </c>
      <c r="D28" s="57" t="s">
        <v>51</v>
      </c>
      <c r="E28" s="64">
        <v>16</v>
      </c>
      <c r="F28" s="64">
        <v>21</v>
      </c>
      <c r="G28" s="64">
        <v>25</v>
      </c>
      <c r="H28" s="64">
        <v>26</v>
      </c>
      <c r="I28" s="64">
        <v>29</v>
      </c>
      <c r="J28" s="64">
        <v>28</v>
      </c>
      <c r="K28" s="64">
        <v>32</v>
      </c>
      <c r="L28" s="64">
        <v>30</v>
      </c>
      <c r="M28" s="64">
        <v>32</v>
      </c>
      <c r="N28" s="64">
        <v>36</v>
      </c>
      <c r="O28" s="64">
        <v>39</v>
      </c>
      <c r="P28" s="64">
        <v>37</v>
      </c>
      <c r="Q28" s="64">
        <v>37</v>
      </c>
      <c r="R28" s="64">
        <v>45</v>
      </c>
      <c r="S28" s="64">
        <v>34</v>
      </c>
      <c r="T28" s="64">
        <v>32</v>
      </c>
      <c r="U28" s="64">
        <v>26</v>
      </c>
      <c r="V28" s="64">
        <v>67</v>
      </c>
      <c r="W28" s="64">
        <v>101</v>
      </c>
      <c r="X28" s="64">
        <v>99</v>
      </c>
      <c r="Y28" s="64">
        <v>110</v>
      </c>
      <c r="Z28" s="64">
        <v>132</v>
      </c>
      <c r="AA28" s="64">
        <v>119</v>
      </c>
      <c r="AB28" s="64">
        <v>117</v>
      </c>
      <c r="AC28" s="64">
        <v>140</v>
      </c>
      <c r="AD28" s="64">
        <v>88</v>
      </c>
      <c r="AE28" s="64">
        <v>101</v>
      </c>
      <c r="AF28" s="64">
        <v>105</v>
      </c>
      <c r="AG28" s="64">
        <v>110</v>
      </c>
      <c r="AH28" s="64">
        <v>149</v>
      </c>
      <c r="AI28" s="64">
        <v>132</v>
      </c>
    </row>
    <row r="29" spans="1:35" ht="14.5" x14ac:dyDescent="0.35">
      <c r="A29" s="57" t="s">
        <v>109</v>
      </c>
      <c r="B29" s="57" t="str">
        <f>VLOOKUP(Tabelle_Abfrage_von_MS_Access_Database[[#This Row],[LAND]],Tabelle_Abfrage_von_MS_Access_Database4[[LAND]:[Partnerland]],2,FALSE)</f>
        <v>Regierungsdienstleistungen (Int. Org.)</v>
      </c>
      <c r="C29" s="57" t="s">
        <v>19</v>
      </c>
      <c r="D29" s="57" t="s">
        <v>51</v>
      </c>
      <c r="E29" s="64">
        <v>248</v>
      </c>
      <c r="F29" s="64">
        <v>271</v>
      </c>
      <c r="G29" s="64">
        <v>264</v>
      </c>
      <c r="H29" s="64">
        <v>303</v>
      </c>
      <c r="I29" s="64">
        <v>277</v>
      </c>
      <c r="J29" s="64">
        <v>247</v>
      </c>
      <c r="K29" s="64">
        <v>273</v>
      </c>
      <c r="L29" s="64">
        <v>312</v>
      </c>
      <c r="M29" s="64">
        <v>322</v>
      </c>
      <c r="N29" s="64">
        <v>300</v>
      </c>
      <c r="O29" s="64">
        <v>311</v>
      </c>
      <c r="P29" s="64">
        <v>347</v>
      </c>
      <c r="Q29" s="64">
        <v>436</v>
      </c>
      <c r="R29" s="64">
        <v>418</v>
      </c>
      <c r="S29" s="64">
        <v>447</v>
      </c>
      <c r="T29" s="64">
        <v>422</v>
      </c>
      <c r="U29" s="64">
        <v>432</v>
      </c>
      <c r="V29" s="64">
        <v>468</v>
      </c>
      <c r="W29" s="64">
        <v>497</v>
      </c>
      <c r="X29" s="64">
        <v>484</v>
      </c>
      <c r="Y29" s="64">
        <v>455</v>
      </c>
      <c r="Z29" s="64">
        <v>464</v>
      </c>
      <c r="AA29" s="64">
        <v>502</v>
      </c>
      <c r="AB29" s="64">
        <v>536</v>
      </c>
      <c r="AC29" s="64">
        <v>530</v>
      </c>
      <c r="AD29" s="64">
        <v>569</v>
      </c>
      <c r="AE29" s="64">
        <v>710</v>
      </c>
      <c r="AF29" s="64">
        <v>790</v>
      </c>
      <c r="AG29" s="64">
        <v>796</v>
      </c>
      <c r="AH29" s="64">
        <v>790</v>
      </c>
      <c r="AI29" s="64">
        <v>845</v>
      </c>
    </row>
    <row r="30" spans="1:35" ht="14.5" x14ac:dyDescent="0.35">
      <c r="A30" s="57" t="s">
        <v>110</v>
      </c>
      <c r="B30" s="57" t="str">
        <f>VLOOKUP(Tabelle_Abfrage_von_MS_Access_Database[[#This Row],[LAND]],Tabelle_Abfrage_von_MS_Access_Database4[[LAND]:[Partnerland]],2,FALSE)</f>
        <v>Dienstleistungen</v>
      </c>
      <c r="C30" s="57" t="s">
        <v>19</v>
      </c>
      <c r="D30" s="57" t="s">
        <v>51</v>
      </c>
      <c r="E30" s="64">
        <v>17784</v>
      </c>
      <c r="F30" s="64">
        <v>18831</v>
      </c>
      <c r="G30" s="64">
        <v>19238</v>
      </c>
      <c r="H30" s="64">
        <v>20722</v>
      </c>
      <c r="I30" s="64">
        <v>21739</v>
      </c>
      <c r="J30" s="64">
        <v>24615</v>
      </c>
      <c r="K30" s="64">
        <v>26300</v>
      </c>
      <c r="L30" s="64">
        <v>27517</v>
      </c>
      <c r="M30" s="64">
        <v>28617</v>
      </c>
      <c r="N30" s="64">
        <v>30270</v>
      </c>
      <c r="O30" s="64">
        <v>33233</v>
      </c>
      <c r="P30" s="64">
        <v>36357</v>
      </c>
      <c r="Q30" s="64">
        <v>39758</v>
      </c>
      <c r="R30" s="64">
        <v>42977</v>
      </c>
      <c r="S30" s="64">
        <v>38825</v>
      </c>
      <c r="T30" s="64">
        <v>39664</v>
      </c>
      <c r="U30" s="64">
        <v>42611</v>
      </c>
      <c r="V30" s="64">
        <v>45053</v>
      </c>
      <c r="W30" s="64">
        <v>49176</v>
      </c>
      <c r="X30" s="64">
        <v>51687</v>
      </c>
      <c r="Y30" s="64">
        <v>53216</v>
      </c>
      <c r="Z30" s="64">
        <v>55554</v>
      </c>
      <c r="AA30" s="64">
        <v>59405</v>
      </c>
      <c r="AB30" s="64">
        <v>64239</v>
      </c>
      <c r="AC30" s="64">
        <v>68461</v>
      </c>
      <c r="AD30" s="64">
        <v>56948</v>
      </c>
      <c r="AE30" s="64">
        <v>60166</v>
      </c>
      <c r="AF30" s="64">
        <v>78527</v>
      </c>
      <c r="AG30" s="64">
        <v>83328</v>
      </c>
      <c r="AH30" s="64">
        <v>89288</v>
      </c>
      <c r="AI30" s="67">
        <v>93443</v>
      </c>
    </row>
  </sheetData>
  <phoneticPr fontId="2" type="noConversion"/>
  <pageMargins left="0.7" right="0.7" top="0.78740157499999996" bottom="0.78740157499999996"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AI30"/>
  <sheetViews>
    <sheetView topLeftCell="B1" workbookViewId="0">
      <selection activeCell="E1" sqref="E1:AI30"/>
    </sheetView>
  </sheetViews>
  <sheetFormatPr baseColWidth="10" defaultColWidth="11.453125" defaultRowHeight="12.5" x14ac:dyDescent="0.25"/>
  <cols>
    <col min="1" max="1" width="8.453125" customWidth="1"/>
    <col min="2" max="2" width="65.1796875" bestFit="1" customWidth="1"/>
    <col min="3" max="3" width="7.453125" customWidth="1"/>
    <col min="4" max="4" width="6.453125" customWidth="1"/>
    <col min="5" max="15" width="12" bestFit="1" customWidth="1"/>
    <col min="16" max="24" width="12" customWidth="1"/>
    <col min="26" max="53" width="12" bestFit="1" customWidth="1"/>
    <col min="54" max="54" width="12.453125" bestFit="1" customWidth="1"/>
    <col min="55" max="55" width="12" bestFit="1" customWidth="1"/>
    <col min="56" max="56" width="12.453125" bestFit="1" customWidth="1"/>
    <col min="57" max="57" width="12" bestFit="1" customWidth="1"/>
    <col min="58" max="60" width="12.453125" bestFit="1" customWidth="1"/>
  </cols>
  <sheetData>
    <row r="1" spans="1:35" ht="14.5" x14ac:dyDescent="0.35">
      <c r="A1" s="58" t="s">
        <v>1</v>
      </c>
      <c r="B1" s="58" t="s">
        <v>111</v>
      </c>
      <c r="C1" s="58" t="s">
        <v>49</v>
      </c>
      <c r="D1" s="58" t="s">
        <v>50</v>
      </c>
      <c r="E1" s="63" t="s">
        <v>19</v>
      </c>
      <c r="F1" s="63" t="s">
        <v>20</v>
      </c>
      <c r="G1" s="63" t="s">
        <v>21</v>
      </c>
      <c r="H1" s="63" t="s">
        <v>22</v>
      </c>
      <c r="I1" s="63" t="s">
        <v>23</v>
      </c>
      <c r="J1" s="63" t="s">
        <v>24</v>
      </c>
      <c r="K1" s="63" t="s">
        <v>25</v>
      </c>
      <c r="L1" s="63" t="s">
        <v>26</v>
      </c>
      <c r="M1" s="63" t="s">
        <v>27</v>
      </c>
      <c r="N1" s="63" t="s">
        <v>28</v>
      </c>
      <c r="O1" s="63" t="s">
        <v>29</v>
      </c>
      <c r="P1" s="63" t="s">
        <v>30</v>
      </c>
      <c r="Q1" s="63" t="s">
        <v>31</v>
      </c>
      <c r="R1" s="63" t="s">
        <v>32</v>
      </c>
      <c r="S1" s="63" t="s">
        <v>33</v>
      </c>
      <c r="T1" s="63" t="s">
        <v>34</v>
      </c>
      <c r="U1" s="63" t="s">
        <v>35</v>
      </c>
      <c r="V1" s="63" t="s">
        <v>36</v>
      </c>
      <c r="W1" s="63" t="s">
        <v>52</v>
      </c>
      <c r="X1" s="63" t="s">
        <v>63</v>
      </c>
      <c r="Y1" s="63" t="s">
        <v>112</v>
      </c>
      <c r="Z1" s="63" t="s">
        <v>115</v>
      </c>
      <c r="AA1" s="63" t="s">
        <v>116</v>
      </c>
      <c r="AB1" s="63" t="s">
        <v>157</v>
      </c>
      <c r="AC1" s="63" t="s">
        <v>158</v>
      </c>
      <c r="AD1" s="63" t="s">
        <v>159</v>
      </c>
      <c r="AE1" s="63" t="s">
        <v>160</v>
      </c>
      <c r="AF1" s="63" t="s">
        <v>161</v>
      </c>
      <c r="AG1" s="63" t="s">
        <v>162</v>
      </c>
      <c r="AH1" s="63" t="s">
        <v>163</v>
      </c>
      <c r="AI1" s="63" t="s">
        <v>165</v>
      </c>
    </row>
    <row r="2" spans="1:35" ht="14.5" x14ac:dyDescent="0.35">
      <c r="A2" s="59" t="s">
        <v>3</v>
      </c>
      <c r="B2" s="59" t="str">
        <f>VLOOKUP(Tabelle_Abfrage_von_MS_Access_Database7[[#This Row],[LAND]],Tabelle_Abfrage_von_MS_Access_Database4[[LAND]:[Partnerland]],2,FALSE)</f>
        <v>Gebühren für Lohnveredelung</v>
      </c>
      <c r="C2" s="59" t="s">
        <v>19</v>
      </c>
      <c r="D2" s="59" t="s">
        <v>51</v>
      </c>
      <c r="E2" s="64">
        <v>120</v>
      </c>
      <c r="F2" s="64">
        <v>181</v>
      </c>
      <c r="G2" s="64">
        <v>215</v>
      </c>
      <c r="H2" s="64">
        <v>205</v>
      </c>
      <c r="I2" s="64">
        <v>276</v>
      </c>
      <c r="J2" s="64">
        <v>311</v>
      </c>
      <c r="K2" s="64">
        <v>631</v>
      </c>
      <c r="L2" s="64">
        <v>716</v>
      </c>
      <c r="M2" s="64">
        <v>896</v>
      </c>
      <c r="N2" s="64">
        <v>827</v>
      </c>
      <c r="O2" s="64">
        <v>844</v>
      </c>
      <c r="P2" s="64">
        <v>1068</v>
      </c>
      <c r="Q2" s="64">
        <v>1117</v>
      </c>
      <c r="R2" s="64">
        <v>1207</v>
      </c>
      <c r="S2" s="64">
        <v>806</v>
      </c>
      <c r="T2" s="64">
        <v>876</v>
      </c>
      <c r="U2" s="64">
        <v>1004</v>
      </c>
      <c r="V2" s="64">
        <v>878</v>
      </c>
      <c r="W2" s="64">
        <v>1712</v>
      </c>
      <c r="X2" s="64">
        <v>1688</v>
      </c>
      <c r="Y2" s="64">
        <v>1712</v>
      </c>
      <c r="Z2" s="64">
        <v>1956</v>
      </c>
      <c r="AA2" s="64">
        <v>2072</v>
      </c>
      <c r="AB2" s="64">
        <v>2440</v>
      </c>
      <c r="AC2" s="64">
        <v>2627</v>
      </c>
      <c r="AD2" s="64">
        <v>2459</v>
      </c>
      <c r="AE2" s="64">
        <v>2695</v>
      </c>
      <c r="AF2" s="64">
        <v>3053</v>
      </c>
      <c r="AG2" s="64">
        <v>3216</v>
      </c>
      <c r="AH2" s="64">
        <v>3535</v>
      </c>
      <c r="AI2" s="66">
        <v>3543</v>
      </c>
    </row>
    <row r="3" spans="1:35" ht="14.5" x14ac:dyDescent="0.35">
      <c r="A3" s="59" t="s">
        <v>4</v>
      </c>
      <c r="B3" s="59" t="str">
        <f>VLOOKUP(Tabelle_Abfrage_von_MS_Access_Database7[[#This Row],[LAND]],Tabelle_Abfrage_von_MS_Access_Database4[[LAND]:[Partnerland]],2,FALSE)</f>
        <v>Reparaturdienstleistungen</v>
      </c>
      <c r="C3" s="59" t="s">
        <v>19</v>
      </c>
      <c r="D3" s="59" t="s">
        <v>51</v>
      </c>
      <c r="E3" s="64">
        <v>57</v>
      </c>
      <c r="F3" s="64">
        <v>51</v>
      </c>
      <c r="G3" s="64">
        <v>59</v>
      </c>
      <c r="H3" s="64">
        <v>168</v>
      </c>
      <c r="I3" s="64">
        <v>88</v>
      </c>
      <c r="J3" s="64">
        <v>217</v>
      </c>
      <c r="K3" s="64">
        <v>60</v>
      </c>
      <c r="L3" s="64">
        <v>528</v>
      </c>
      <c r="M3" s="64">
        <v>224</v>
      </c>
      <c r="N3" s="64">
        <v>160</v>
      </c>
      <c r="O3" s="64">
        <v>114</v>
      </c>
      <c r="P3" s="64">
        <v>113</v>
      </c>
      <c r="Q3" s="64">
        <v>111</v>
      </c>
      <c r="R3" s="64">
        <v>113</v>
      </c>
      <c r="S3" s="64">
        <v>202</v>
      </c>
      <c r="T3" s="64">
        <v>119</v>
      </c>
      <c r="U3" s="64">
        <v>243</v>
      </c>
      <c r="V3" s="64">
        <v>213</v>
      </c>
      <c r="W3" s="64">
        <v>549</v>
      </c>
      <c r="X3" s="64">
        <v>570</v>
      </c>
      <c r="Y3" s="64">
        <v>605</v>
      </c>
      <c r="Z3" s="64">
        <v>657</v>
      </c>
      <c r="AA3" s="64">
        <v>747</v>
      </c>
      <c r="AB3" s="64">
        <v>1052</v>
      </c>
      <c r="AC3" s="64">
        <v>1071</v>
      </c>
      <c r="AD3" s="64">
        <v>922</v>
      </c>
      <c r="AE3" s="64">
        <v>918</v>
      </c>
      <c r="AF3" s="64">
        <v>1060</v>
      </c>
      <c r="AG3" s="64">
        <v>1324</v>
      </c>
      <c r="AH3" s="64">
        <v>1392</v>
      </c>
      <c r="AI3" s="64">
        <v>1548</v>
      </c>
    </row>
    <row r="4" spans="1:35" ht="14.5" x14ac:dyDescent="0.35">
      <c r="A4" s="59" t="s">
        <v>5</v>
      </c>
      <c r="B4" s="59" t="str">
        <f>VLOOKUP(Tabelle_Abfrage_von_MS_Access_Database7[[#This Row],[LAND]],Tabelle_Abfrage_von_MS_Access_Database4[[LAND]:[Partnerland]],2,FALSE)</f>
        <v>Internationaler Personentransport</v>
      </c>
      <c r="C4" s="59" t="s">
        <v>19</v>
      </c>
      <c r="D4" s="59" t="s">
        <v>51</v>
      </c>
      <c r="E4" s="64">
        <v>585</v>
      </c>
      <c r="F4" s="64">
        <v>588</v>
      </c>
      <c r="G4" s="64">
        <v>544</v>
      </c>
      <c r="H4" s="64">
        <v>730</v>
      </c>
      <c r="I4" s="64">
        <v>743</v>
      </c>
      <c r="J4" s="64">
        <v>832</v>
      </c>
      <c r="K4" s="64">
        <v>928</v>
      </c>
      <c r="L4" s="64">
        <v>888</v>
      </c>
      <c r="M4" s="64">
        <v>1003</v>
      </c>
      <c r="N4" s="64">
        <v>1270</v>
      </c>
      <c r="O4" s="64">
        <v>1417</v>
      </c>
      <c r="P4" s="64">
        <v>1667</v>
      </c>
      <c r="Q4" s="64">
        <v>1652</v>
      </c>
      <c r="R4" s="64">
        <v>1735</v>
      </c>
      <c r="S4" s="64">
        <v>1399</v>
      </c>
      <c r="T4" s="64">
        <v>1574</v>
      </c>
      <c r="U4" s="64">
        <v>1701</v>
      </c>
      <c r="V4" s="64">
        <v>1839</v>
      </c>
      <c r="W4" s="64">
        <v>1848</v>
      </c>
      <c r="X4" s="64">
        <v>1878</v>
      </c>
      <c r="Y4" s="64">
        <v>1810</v>
      </c>
      <c r="Z4" s="64">
        <v>1682</v>
      </c>
      <c r="AA4" s="64">
        <v>1863</v>
      </c>
      <c r="AB4" s="64">
        <v>1966</v>
      </c>
      <c r="AC4" s="64">
        <v>2146</v>
      </c>
      <c r="AD4" s="64">
        <v>596</v>
      </c>
      <c r="AE4" s="64">
        <v>761</v>
      </c>
      <c r="AF4" s="64">
        <v>1689</v>
      </c>
      <c r="AG4" s="64">
        <v>1917</v>
      </c>
      <c r="AH4" s="64">
        <v>1963</v>
      </c>
      <c r="AI4" s="64">
        <v>1826</v>
      </c>
    </row>
    <row r="5" spans="1:35" ht="14.5" x14ac:dyDescent="0.35">
      <c r="A5" s="59" t="s">
        <v>6</v>
      </c>
      <c r="B5" s="59" t="str">
        <f>VLOOKUP(Tabelle_Abfrage_von_MS_Access_Database7[[#This Row],[LAND]],Tabelle_Abfrage_von_MS_Access_Database4[[LAND]:[Partnerland]],2,FALSE)</f>
        <v>Frachten</v>
      </c>
      <c r="C5" s="59" t="s">
        <v>19</v>
      </c>
      <c r="D5" s="59" t="s">
        <v>51</v>
      </c>
      <c r="E5" s="64">
        <v>2227</v>
      </c>
      <c r="F5" s="64">
        <v>2303</v>
      </c>
      <c r="G5" s="64">
        <v>2395</v>
      </c>
      <c r="H5" s="64">
        <v>2455</v>
      </c>
      <c r="I5" s="64">
        <v>2340</v>
      </c>
      <c r="J5" s="64">
        <v>2826</v>
      </c>
      <c r="K5" s="64">
        <v>3213</v>
      </c>
      <c r="L5" s="64">
        <v>3329</v>
      </c>
      <c r="M5" s="64">
        <v>3511</v>
      </c>
      <c r="N5" s="64">
        <v>4336</v>
      </c>
      <c r="O5" s="64">
        <v>5017</v>
      </c>
      <c r="P5" s="64">
        <v>5740</v>
      </c>
      <c r="Q5" s="64">
        <v>6553</v>
      </c>
      <c r="R5" s="64">
        <v>6888</v>
      </c>
      <c r="S5" s="64">
        <v>5652</v>
      </c>
      <c r="T5" s="64">
        <v>6870</v>
      </c>
      <c r="U5" s="64">
        <v>7877</v>
      </c>
      <c r="V5" s="64">
        <v>8163</v>
      </c>
      <c r="W5" s="64">
        <v>8988</v>
      </c>
      <c r="X5" s="64">
        <v>9737</v>
      </c>
      <c r="Y5" s="64">
        <v>10170</v>
      </c>
      <c r="Z5" s="64">
        <v>10548</v>
      </c>
      <c r="AA5" s="64">
        <v>11489</v>
      </c>
      <c r="AB5" s="64">
        <v>12271</v>
      </c>
      <c r="AC5" s="64">
        <v>12888</v>
      </c>
      <c r="AD5" s="64">
        <v>12666</v>
      </c>
      <c r="AE5" s="64">
        <v>14808</v>
      </c>
      <c r="AF5" s="64">
        <v>18003</v>
      </c>
      <c r="AG5" s="64">
        <v>16138</v>
      </c>
      <c r="AH5" s="64">
        <v>16575</v>
      </c>
      <c r="AI5" s="64">
        <v>16581</v>
      </c>
    </row>
    <row r="6" spans="1:35" ht="14.5" x14ac:dyDescent="0.35">
      <c r="A6" s="59" t="s">
        <v>7</v>
      </c>
      <c r="B6" s="59" t="str">
        <f>VLOOKUP(Tabelle_Abfrage_von_MS_Access_Database7[[#This Row],[LAND]],Tabelle_Abfrage_von_MS_Access_Database4[[LAND]:[Partnerland]],2,FALSE)</f>
        <v>Transporthilfsleistungen</v>
      </c>
      <c r="C6" s="59" t="s">
        <v>19</v>
      </c>
      <c r="D6" s="59" t="s">
        <v>51</v>
      </c>
      <c r="E6" s="64">
        <v>267</v>
      </c>
      <c r="F6" s="64">
        <v>306</v>
      </c>
      <c r="G6" s="64">
        <v>324</v>
      </c>
      <c r="H6" s="64">
        <v>315</v>
      </c>
      <c r="I6" s="64">
        <v>326</v>
      </c>
      <c r="J6" s="64">
        <v>415</v>
      </c>
      <c r="K6" s="64">
        <v>489</v>
      </c>
      <c r="L6" s="64">
        <v>488</v>
      </c>
      <c r="M6" s="64">
        <v>461</v>
      </c>
      <c r="N6" s="64">
        <v>503</v>
      </c>
      <c r="O6" s="64">
        <v>541</v>
      </c>
      <c r="P6" s="64">
        <v>708</v>
      </c>
      <c r="Q6" s="64">
        <v>638</v>
      </c>
      <c r="R6" s="64">
        <v>697</v>
      </c>
      <c r="S6" s="64">
        <v>608</v>
      </c>
      <c r="T6" s="64">
        <v>733</v>
      </c>
      <c r="U6" s="64">
        <v>915</v>
      </c>
      <c r="V6" s="64">
        <v>932</v>
      </c>
      <c r="W6" s="64">
        <v>851</v>
      </c>
      <c r="X6" s="64">
        <v>879</v>
      </c>
      <c r="Y6" s="64">
        <v>864</v>
      </c>
      <c r="Z6" s="64">
        <v>797</v>
      </c>
      <c r="AA6" s="64">
        <v>867</v>
      </c>
      <c r="AB6" s="64">
        <v>857</v>
      </c>
      <c r="AC6" s="64">
        <v>1024</v>
      </c>
      <c r="AD6" s="64">
        <v>534</v>
      </c>
      <c r="AE6" s="64">
        <v>544</v>
      </c>
      <c r="AF6" s="64">
        <v>838</v>
      </c>
      <c r="AG6" s="64">
        <v>943</v>
      </c>
      <c r="AH6" s="64">
        <v>1067</v>
      </c>
      <c r="AI6" s="64">
        <v>1107</v>
      </c>
    </row>
    <row r="7" spans="1:35" ht="14.5" x14ac:dyDescent="0.35">
      <c r="A7" s="59" t="s">
        <v>8</v>
      </c>
      <c r="B7" s="59" t="str">
        <f>VLOOKUP(Tabelle_Abfrage_von_MS_Access_Database7[[#This Row],[LAND]],Tabelle_Abfrage_von_MS_Access_Database4[[LAND]:[Partnerland]],2,FALSE)</f>
        <v>Post- und Kurierdienste</v>
      </c>
      <c r="C7" s="59" t="s">
        <v>19</v>
      </c>
      <c r="D7" s="59" t="s">
        <v>51</v>
      </c>
      <c r="E7" s="64">
        <v>42</v>
      </c>
      <c r="F7" s="64">
        <v>53</v>
      </c>
      <c r="G7" s="64">
        <v>63</v>
      </c>
      <c r="H7" s="64">
        <v>84</v>
      </c>
      <c r="I7" s="64">
        <v>74</v>
      </c>
      <c r="J7" s="64">
        <v>80</v>
      </c>
      <c r="K7" s="64">
        <v>111</v>
      </c>
      <c r="L7" s="64">
        <v>97</v>
      </c>
      <c r="M7" s="64">
        <v>164</v>
      </c>
      <c r="N7" s="64">
        <v>87</v>
      </c>
      <c r="O7" s="64">
        <v>151</v>
      </c>
      <c r="P7" s="64">
        <v>213</v>
      </c>
      <c r="Q7" s="64">
        <v>209</v>
      </c>
      <c r="R7" s="64">
        <v>209</v>
      </c>
      <c r="S7" s="64">
        <v>196</v>
      </c>
      <c r="T7" s="64">
        <v>199</v>
      </c>
      <c r="U7" s="64">
        <v>236</v>
      </c>
      <c r="V7" s="64">
        <v>243</v>
      </c>
      <c r="W7" s="64">
        <v>274</v>
      </c>
      <c r="X7" s="64">
        <v>299</v>
      </c>
      <c r="Y7" s="64">
        <v>303</v>
      </c>
      <c r="Z7" s="64">
        <v>328</v>
      </c>
      <c r="AA7" s="64">
        <v>351</v>
      </c>
      <c r="AB7" s="64">
        <v>340</v>
      </c>
      <c r="AC7" s="64">
        <v>402</v>
      </c>
      <c r="AD7" s="64">
        <v>395</v>
      </c>
      <c r="AE7" s="64">
        <v>449</v>
      </c>
      <c r="AF7" s="64">
        <v>489</v>
      </c>
      <c r="AG7" s="64">
        <v>444</v>
      </c>
      <c r="AH7" s="64">
        <v>456</v>
      </c>
      <c r="AI7" s="64">
        <v>524</v>
      </c>
    </row>
    <row r="8" spans="1:35" ht="14.5" x14ac:dyDescent="0.35">
      <c r="A8" s="59" t="s">
        <v>9</v>
      </c>
      <c r="B8" s="59" t="str">
        <f>VLOOKUP(Tabelle_Abfrage_von_MS_Access_Database7[[#This Row],[LAND]],Tabelle_Abfrage_von_MS_Access_Database4[[LAND]:[Partnerland]],2,FALSE)</f>
        <v>Geschäftsreisen</v>
      </c>
      <c r="C8" s="59" t="s">
        <v>19</v>
      </c>
      <c r="D8" s="59" t="s">
        <v>51</v>
      </c>
      <c r="E8" s="64">
        <v>1299</v>
      </c>
      <c r="F8" s="64">
        <v>1377</v>
      </c>
      <c r="G8" s="64">
        <v>1488</v>
      </c>
      <c r="H8" s="64">
        <v>1404</v>
      </c>
      <c r="I8" s="64">
        <v>1374</v>
      </c>
      <c r="J8" s="64">
        <v>1504</v>
      </c>
      <c r="K8" s="64">
        <v>1676</v>
      </c>
      <c r="L8" s="64">
        <v>1642</v>
      </c>
      <c r="M8" s="64">
        <v>1623</v>
      </c>
      <c r="N8" s="64">
        <v>1630</v>
      </c>
      <c r="O8" s="64">
        <v>1564</v>
      </c>
      <c r="P8" s="64">
        <v>1564</v>
      </c>
      <c r="Q8" s="64">
        <v>1642</v>
      </c>
      <c r="R8" s="64">
        <v>1593</v>
      </c>
      <c r="S8" s="64">
        <v>1292</v>
      </c>
      <c r="T8" s="64">
        <v>1302</v>
      </c>
      <c r="U8" s="64">
        <v>1354</v>
      </c>
      <c r="V8" s="64">
        <v>1371</v>
      </c>
      <c r="W8" s="64">
        <v>1389</v>
      </c>
      <c r="X8" s="64">
        <v>1457</v>
      </c>
      <c r="Y8" s="64">
        <v>1471</v>
      </c>
      <c r="Z8" s="64">
        <v>1470</v>
      </c>
      <c r="AA8" s="64">
        <v>1468</v>
      </c>
      <c r="AB8" s="64">
        <v>1427</v>
      </c>
      <c r="AC8" s="64">
        <v>1584</v>
      </c>
      <c r="AD8" s="64">
        <v>889</v>
      </c>
      <c r="AE8" s="64">
        <v>887</v>
      </c>
      <c r="AF8" s="64">
        <v>1351</v>
      </c>
      <c r="AG8" s="64">
        <v>1990</v>
      </c>
      <c r="AH8" s="64">
        <v>2170</v>
      </c>
      <c r="AI8" s="64">
        <v>2226</v>
      </c>
    </row>
    <row r="9" spans="1:35" ht="14.5" x14ac:dyDescent="0.35">
      <c r="A9" s="59" t="s">
        <v>64</v>
      </c>
      <c r="B9" s="59" t="str">
        <f>VLOOKUP(Tabelle_Abfrage_von_MS_Access_Database7[[#This Row],[LAND]],Tabelle_Abfrage_von_MS_Access_Database4[[LAND]:[Partnerland]],2,FALSE)</f>
        <v>Privatreisen</v>
      </c>
      <c r="C9" s="59" t="s">
        <v>19</v>
      </c>
      <c r="D9" s="59" t="s">
        <v>51</v>
      </c>
      <c r="E9" s="64">
        <v>4544</v>
      </c>
      <c r="F9" s="64">
        <v>4850</v>
      </c>
      <c r="G9" s="64">
        <v>5088</v>
      </c>
      <c r="H9" s="64">
        <v>4879</v>
      </c>
      <c r="I9" s="64">
        <v>4958</v>
      </c>
      <c r="J9" s="64">
        <v>5263</v>
      </c>
      <c r="K9" s="64">
        <v>5690</v>
      </c>
      <c r="L9" s="64">
        <v>5644</v>
      </c>
      <c r="M9" s="64">
        <v>6011</v>
      </c>
      <c r="N9" s="64">
        <v>5843</v>
      </c>
      <c r="O9" s="64">
        <v>5942</v>
      </c>
      <c r="P9" s="64">
        <v>6077</v>
      </c>
      <c r="Q9" s="64">
        <v>6057</v>
      </c>
      <c r="R9" s="64">
        <v>6128</v>
      </c>
      <c r="S9" s="64">
        <v>6452</v>
      </c>
      <c r="T9" s="64">
        <v>6416</v>
      </c>
      <c r="U9" s="64">
        <v>6177</v>
      </c>
      <c r="V9" s="64">
        <v>6454</v>
      </c>
      <c r="W9" s="64">
        <v>6511</v>
      </c>
      <c r="X9" s="64">
        <v>6872</v>
      </c>
      <c r="Y9" s="64">
        <v>6936</v>
      </c>
      <c r="Z9" s="64">
        <v>7329</v>
      </c>
      <c r="AA9" s="64">
        <v>7987</v>
      </c>
      <c r="AB9" s="64">
        <v>8591</v>
      </c>
      <c r="AC9" s="64">
        <v>8780</v>
      </c>
      <c r="AD9" s="64">
        <v>3038</v>
      </c>
      <c r="AE9" s="64">
        <v>5249</v>
      </c>
      <c r="AF9" s="64">
        <v>10225</v>
      </c>
      <c r="AG9" s="64">
        <v>12082</v>
      </c>
      <c r="AH9" s="64">
        <v>13264</v>
      </c>
      <c r="AI9" s="64">
        <v>13906</v>
      </c>
    </row>
    <row r="10" spans="1:35" ht="14.5" x14ac:dyDescent="0.35">
      <c r="A10" s="59" t="s">
        <v>10</v>
      </c>
      <c r="B10" s="59" t="str">
        <f>VLOOKUP(Tabelle_Abfrage_von_MS_Access_Database7[[#This Row],[LAND]],Tabelle_Abfrage_von_MS_Access_Database4[[LAND]:[Partnerland]],2,FALSE)</f>
        <v>Bauleistungen im Ausland</v>
      </c>
      <c r="C10" s="59" t="s">
        <v>19</v>
      </c>
      <c r="D10" s="59" t="s">
        <v>51</v>
      </c>
      <c r="E10" s="64">
        <v>315</v>
      </c>
      <c r="F10" s="64">
        <v>347</v>
      </c>
      <c r="G10" s="64">
        <v>346</v>
      </c>
      <c r="H10" s="64">
        <v>301</v>
      </c>
      <c r="I10" s="64">
        <v>424</v>
      </c>
      <c r="J10" s="64">
        <v>225</v>
      </c>
      <c r="K10" s="64">
        <v>402</v>
      </c>
      <c r="L10" s="64">
        <v>436</v>
      </c>
      <c r="M10" s="64">
        <v>688</v>
      </c>
      <c r="N10" s="64">
        <v>622</v>
      </c>
      <c r="O10" s="64">
        <v>486</v>
      </c>
      <c r="P10" s="64">
        <v>214</v>
      </c>
      <c r="Q10" s="64">
        <v>455</v>
      </c>
      <c r="R10" s="64">
        <v>628</v>
      </c>
      <c r="S10" s="64">
        <v>450</v>
      </c>
      <c r="T10" s="64">
        <v>397</v>
      </c>
      <c r="U10" s="64">
        <v>265</v>
      </c>
      <c r="V10" s="64">
        <v>281</v>
      </c>
      <c r="W10" s="64">
        <v>258</v>
      </c>
      <c r="X10" s="64">
        <v>275</v>
      </c>
      <c r="Y10" s="64">
        <v>269</v>
      </c>
      <c r="Z10" s="64">
        <v>239</v>
      </c>
      <c r="AA10" s="64">
        <v>271</v>
      </c>
      <c r="AB10" s="64">
        <v>274</v>
      </c>
      <c r="AC10" s="64">
        <v>295</v>
      </c>
      <c r="AD10" s="64">
        <v>299</v>
      </c>
      <c r="AE10" s="64">
        <v>294</v>
      </c>
      <c r="AF10" s="64">
        <v>358</v>
      </c>
      <c r="AG10" s="64">
        <v>399</v>
      </c>
      <c r="AH10" s="64">
        <v>416</v>
      </c>
      <c r="AI10" s="64">
        <v>782</v>
      </c>
    </row>
    <row r="11" spans="1:35" ht="14.5" x14ac:dyDescent="0.35">
      <c r="A11" s="59" t="s">
        <v>65</v>
      </c>
      <c r="B11" s="59" t="str">
        <f>VLOOKUP(Tabelle_Abfrage_von_MS_Access_Database7[[#This Row],[LAND]],Tabelle_Abfrage_von_MS_Access_Database4[[LAND]:[Partnerland]],2,FALSE)</f>
        <v>Bauleistungen im Inland</v>
      </c>
      <c r="C11" s="59" t="s">
        <v>19</v>
      </c>
      <c r="D11" s="59" t="s">
        <v>51</v>
      </c>
      <c r="E11" s="64">
        <v>120</v>
      </c>
      <c r="F11" s="64">
        <v>128</v>
      </c>
      <c r="G11" s="64">
        <v>91</v>
      </c>
      <c r="H11" s="64">
        <v>117</v>
      </c>
      <c r="I11" s="64">
        <v>95</v>
      </c>
      <c r="J11" s="64">
        <v>113</v>
      </c>
      <c r="K11" s="64">
        <v>142</v>
      </c>
      <c r="L11" s="64">
        <v>147</v>
      </c>
      <c r="M11" s="64">
        <v>144</v>
      </c>
      <c r="N11" s="64">
        <v>179</v>
      </c>
      <c r="O11" s="64">
        <v>195</v>
      </c>
      <c r="P11" s="64">
        <v>398</v>
      </c>
      <c r="Q11" s="64">
        <v>423</v>
      </c>
      <c r="R11" s="64">
        <v>415</v>
      </c>
      <c r="S11" s="64">
        <v>343</v>
      </c>
      <c r="T11" s="64">
        <v>281</v>
      </c>
      <c r="U11" s="64">
        <v>306</v>
      </c>
      <c r="V11" s="64">
        <v>379</v>
      </c>
      <c r="W11" s="64">
        <v>436</v>
      </c>
      <c r="X11" s="64">
        <v>444</v>
      </c>
      <c r="Y11" s="64">
        <v>440</v>
      </c>
      <c r="Z11" s="64">
        <v>382</v>
      </c>
      <c r="AA11" s="64">
        <v>388</v>
      </c>
      <c r="AB11" s="64">
        <v>390</v>
      </c>
      <c r="AC11" s="64">
        <v>417</v>
      </c>
      <c r="AD11" s="64">
        <v>385</v>
      </c>
      <c r="AE11" s="64">
        <v>385</v>
      </c>
      <c r="AF11" s="64">
        <v>502</v>
      </c>
      <c r="AG11" s="64">
        <v>540</v>
      </c>
      <c r="AH11" s="64">
        <v>519</v>
      </c>
      <c r="AI11" s="64">
        <v>424</v>
      </c>
    </row>
    <row r="12" spans="1:35" ht="14.5" x14ac:dyDescent="0.35">
      <c r="A12" s="59" t="s">
        <v>11</v>
      </c>
      <c r="B12" s="59" t="str">
        <f>VLOOKUP(Tabelle_Abfrage_von_MS_Access_Database7[[#This Row],[LAND]],Tabelle_Abfrage_von_MS_Access_Database4[[LAND]:[Partnerland]],2,FALSE)</f>
        <v>Direktversicherungen</v>
      </c>
      <c r="C12" s="59" t="s">
        <v>19</v>
      </c>
      <c r="D12" s="59" t="s">
        <v>51</v>
      </c>
      <c r="E12" s="64">
        <v>44</v>
      </c>
      <c r="F12" s="64">
        <v>50</v>
      </c>
      <c r="G12" s="64">
        <v>56</v>
      </c>
      <c r="H12" s="64">
        <v>65</v>
      </c>
      <c r="I12" s="64">
        <v>66</v>
      </c>
      <c r="J12" s="64">
        <v>81</v>
      </c>
      <c r="K12" s="64">
        <v>92</v>
      </c>
      <c r="L12" s="64">
        <v>108</v>
      </c>
      <c r="M12" s="64">
        <v>116</v>
      </c>
      <c r="N12" s="64">
        <v>159</v>
      </c>
      <c r="O12" s="64">
        <v>196</v>
      </c>
      <c r="P12" s="64">
        <v>216</v>
      </c>
      <c r="Q12" s="64">
        <v>274</v>
      </c>
      <c r="R12" s="64">
        <v>241</v>
      </c>
      <c r="S12" s="64">
        <v>242</v>
      </c>
      <c r="T12" s="64">
        <v>255</v>
      </c>
      <c r="U12" s="64">
        <v>282</v>
      </c>
      <c r="V12" s="64">
        <v>284</v>
      </c>
      <c r="W12" s="64">
        <v>304</v>
      </c>
      <c r="X12" s="64">
        <v>316</v>
      </c>
      <c r="Y12" s="64">
        <v>318</v>
      </c>
      <c r="Z12" s="64">
        <v>327</v>
      </c>
      <c r="AA12" s="64">
        <v>355</v>
      </c>
      <c r="AB12" s="64">
        <v>369</v>
      </c>
      <c r="AC12" s="64">
        <v>379</v>
      </c>
      <c r="AD12" s="64">
        <v>370</v>
      </c>
      <c r="AE12" s="64">
        <v>412</v>
      </c>
      <c r="AF12" s="64">
        <v>291</v>
      </c>
      <c r="AG12" s="64">
        <v>255</v>
      </c>
      <c r="AH12" s="64">
        <v>271</v>
      </c>
      <c r="AI12" s="64">
        <v>259</v>
      </c>
    </row>
    <row r="13" spans="1:35" ht="14.5" x14ac:dyDescent="0.35">
      <c r="A13" s="59" t="s">
        <v>66</v>
      </c>
      <c r="B13" s="59" t="str">
        <f>VLOOKUP(Tabelle_Abfrage_von_MS_Access_Database7[[#This Row],[LAND]],Tabelle_Abfrage_von_MS_Access_Database4[[LAND]:[Partnerland]],2,FALSE)</f>
        <v>Rückversicherung</v>
      </c>
      <c r="C13" s="59" t="s">
        <v>19</v>
      </c>
      <c r="D13" s="59" t="s">
        <v>51</v>
      </c>
      <c r="E13" s="64">
        <v>578</v>
      </c>
      <c r="F13" s="64">
        <v>451</v>
      </c>
      <c r="G13" s="64">
        <v>435</v>
      </c>
      <c r="H13" s="64">
        <v>266</v>
      </c>
      <c r="I13" s="64">
        <v>92</v>
      </c>
      <c r="J13" s="64">
        <v>0</v>
      </c>
      <c r="K13" s="64">
        <v>122</v>
      </c>
      <c r="L13" s="64">
        <v>0</v>
      </c>
      <c r="M13" s="64">
        <v>343</v>
      </c>
      <c r="N13" s="64">
        <v>216</v>
      </c>
      <c r="O13" s="64">
        <v>401</v>
      </c>
      <c r="P13" s="64">
        <v>641</v>
      </c>
      <c r="Q13" s="64">
        <v>1005</v>
      </c>
      <c r="R13" s="64">
        <v>527</v>
      </c>
      <c r="S13" s="64">
        <v>613</v>
      </c>
      <c r="T13" s="64">
        <v>531</v>
      </c>
      <c r="U13" s="64">
        <v>552</v>
      </c>
      <c r="V13" s="64">
        <v>508</v>
      </c>
      <c r="W13" s="64">
        <v>434</v>
      </c>
      <c r="X13" s="64">
        <v>490</v>
      </c>
      <c r="Y13" s="64">
        <v>461</v>
      </c>
      <c r="Z13" s="64">
        <v>583</v>
      </c>
      <c r="AA13" s="64">
        <v>552</v>
      </c>
      <c r="AB13" s="64">
        <v>530</v>
      </c>
      <c r="AC13" s="64">
        <v>567</v>
      </c>
      <c r="AD13" s="64">
        <v>628</v>
      </c>
      <c r="AE13" s="64">
        <v>1036</v>
      </c>
      <c r="AF13" s="64">
        <v>1486</v>
      </c>
      <c r="AG13" s="64">
        <v>1540</v>
      </c>
      <c r="AH13" s="64">
        <v>1602</v>
      </c>
      <c r="AI13" s="64">
        <v>1600</v>
      </c>
    </row>
    <row r="14" spans="1:35" ht="14.5" x14ac:dyDescent="0.35">
      <c r="A14" s="59" t="s">
        <v>12</v>
      </c>
      <c r="B14" s="59" t="str">
        <f>VLOOKUP(Tabelle_Abfrage_von_MS_Access_Database7[[#This Row],[LAND]],Tabelle_Abfrage_von_MS_Access_Database4[[LAND]:[Partnerland]],2,FALSE)</f>
        <v>Versicherungshilfsdienste</v>
      </c>
      <c r="C14" s="59" t="s">
        <v>19</v>
      </c>
      <c r="D14" s="59" t="s">
        <v>51</v>
      </c>
      <c r="E14" s="64">
        <v>7</v>
      </c>
      <c r="F14" s="64">
        <v>7</v>
      </c>
      <c r="G14" s="64">
        <v>9</v>
      </c>
      <c r="H14" s="64">
        <v>10</v>
      </c>
      <c r="I14" s="64">
        <v>10</v>
      </c>
      <c r="J14" s="64">
        <v>12</v>
      </c>
      <c r="K14" s="64">
        <v>13</v>
      </c>
      <c r="L14" s="64">
        <v>16</v>
      </c>
      <c r="M14" s="64">
        <v>14</v>
      </c>
      <c r="N14" s="64">
        <v>16</v>
      </c>
      <c r="O14" s="64">
        <v>18</v>
      </c>
      <c r="P14" s="64">
        <v>19</v>
      </c>
      <c r="Q14" s="64">
        <v>17</v>
      </c>
      <c r="R14" s="64">
        <v>16</v>
      </c>
      <c r="S14" s="64">
        <v>14</v>
      </c>
      <c r="T14" s="64">
        <v>14</v>
      </c>
      <c r="U14" s="64">
        <v>9</v>
      </c>
      <c r="V14" s="64">
        <v>8</v>
      </c>
      <c r="W14" s="64">
        <v>11</v>
      </c>
      <c r="X14" s="64">
        <v>8</v>
      </c>
      <c r="Y14" s="64">
        <v>8</v>
      </c>
      <c r="Z14" s="64">
        <v>15</v>
      </c>
      <c r="AA14" s="64">
        <v>14</v>
      </c>
      <c r="AB14" s="64">
        <v>21</v>
      </c>
      <c r="AC14" s="64">
        <v>20</v>
      </c>
      <c r="AD14" s="64">
        <v>20</v>
      </c>
      <c r="AE14" s="64">
        <v>30</v>
      </c>
      <c r="AF14" s="64">
        <v>45</v>
      </c>
      <c r="AG14" s="64">
        <v>48</v>
      </c>
      <c r="AH14" s="64">
        <v>63</v>
      </c>
      <c r="AI14" s="64">
        <v>50</v>
      </c>
    </row>
    <row r="15" spans="1:35" ht="14.5" x14ac:dyDescent="0.35">
      <c r="A15" s="59" t="s">
        <v>67</v>
      </c>
      <c r="B15" s="59" t="str">
        <f>VLOOKUP(Tabelle_Abfrage_von_MS_Access_Database7[[#This Row],[LAND]],Tabelle_Abfrage_von_MS_Access_Database4[[LAND]:[Partnerland]],2,FALSE)</f>
        <v>Finanzdienstleistungen im engeren Sinn</v>
      </c>
      <c r="C15" s="59" t="s">
        <v>19</v>
      </c>
      <c r="D15" s="59" t="s">
        <v>51</v>
      </c>
      <c r="E15" s="64">
        <v>525</v>
      </c>
      <c r="F15" s="64">
        <v>655</v>
      </c>
      <c r="G15" s="64">
        <v>481</v>
      </c>
      <c r="H15" s="64">
        <v>597</v>
      </c>
      <c r="I15" s="64">
        <v>731</v>
      </c>
      <c r="J15" s="64">
        <v>1239</v>
      </c>
      <c r="K15" s="64">
        <v>880</v>
      </c>
      <c r="L15" s="64">
        <v>745</v>
      </c>
      <c r="M15" s="64">
        <v>526</v>
      </c>
      <c r="N15" s="64">
        <v>448</v>
      </c>
      <c r="O15" s="64">
        <v>827</v>
      </c>
      <c r="P15" s="64">
        <v>779</v>
      </c>
      <c r="Q15" s="64">
        <v>842</v>
      </c>
      <c r="R15" s="64">
        <v>770</v>
      </c>
      <c r="S15" s="64">
        <v>578</v>
      </c>
      <c r="T15" s="64">
        <v>628</v>
      </c>
      <c r="U15" s="64">
        <v>622</v>
      </c>
      <c r="V15" s="64">
        <v>565</v>
      </c>
      <c r="W15" s="64">
        <v>623</v>
      </c>
      <c r="X15" s="64">
        <v>715</v>
      </c>
      <c r="Y15" s="64">
        <v>814</v>
      </c>
      <c r="Z15" s="64">
        <v>814</v>
      </c>
      <c r="AA15" s="64">
        <v>963</v>
      </c>
      <c r="AB15" s="64">
        <v>926</v>
      </c>
      <c r="AC15" s="64">
        <v>962</v>
      </c>
      <c r="AD15" s="64">
        <v>737</v>
      </c>
      <c r="AE15" s="64">
        <v>775</v>
      </c>
      <c r="AF15" s="64">
        <v>941</v>
      </c>
      <c r="AG15" s="64">
        <v>718</v>
      </c>
      <c r="AH15" s="64">
        <v>914</v>
      </c>
      <c r="AI15" s="64">
        <v>879</v>
      </c>
    </row>
    <row r="16" spans="1:35" ht="14.5" x14ac:dyDescent="0.35">
      <c r="A16" s="59" t="s">
        <v>68</v>
      </c>
      <c r="B16" s="59" t="str">
        <f>VLOOKUP(Tabelle_Abfrage_von_MS_Access_Database7[[#This Row],[LAND]],Tabelle_Abfrage_von_MS_Access_Database4[[LAND]:[Partnerland]],2,FALSE)</f>
        <v>unterstellte Bankgebühr (FISIM)</v>
      </c>
      <c r="C16" s="59" t="s">
        <v>19</v>
      </c>
      <c r="D16" s="59" t="s">
        <v>51</v>
      </c>
      <c r="E16" s="64">
        <v>314</v>
      </c>
      <c r="F16" s="64">
        <v>378</v>
      </c>
      <c r="G16" s="64">
        <v>406</v>
      </c>
      <c r="H16" s="64">
        <v>404</v>
      </c>
      <c r="I16" s="64">
        <v>543</v>
      </c>
      <c r="J16" s="64">
        <v>453</v>
      </c>
      <c r="K16" s="64">
        <v>440</v>
      </c>
      <c r="L16" s="64">
        <v>422</v>
      </c>
      <c r="M16" s="64">
        <v>390</v>
      </c>
      <c r="N16" s="64">
        <v>370</v>
      </c>
      <c r="O16" s="64">
        <v>410</v>
      </c>
      <c r="P16" s="64">
        <v>250</v>
      </c>
      <c r="Q16" s="64">
        <v>262</v>
      </c>
      <c r="R16" s="64">
        <v>296</v>
      </c>
      <c r="S16" s="64">
        <v>365</v>
      </c>
      <c r="T16" s="64">
        <v>457</v>
      </c>
      <c r="U16" s="64">
        <v>581</v>
      </c>
      <c r="V16" s="64">
        <v>707</v>
      </c>
      <c r="W16" s="64">
        <v>682</v>
      </c>
      <c r="X16" s="64">
        <v>642</v>
      </c>
      <c r="Y16" s="64">
        <v>753</v>
      </c>
      <c r="Z16" s="64">
        <v>898</v>
      </c>
      <c r="AA16" s="64">
        <v>1002</v>
      </c>
      <c r="AB16" s="64">
        <v>961</v>
      </c>
      <c r="AC16" s="64">
        <v>1008</v>
      </c>
      <c r="AD16" s="64">
        <v>910</v>
      </c>
      <c r="AE16" s="64">
        <v>1023</v>
      </c>
      <c r="AF16" s="64">
        <v>853</v>
      </c>
      <c r="AG16" s="64">
        <v>1436</v>
      </c>
      <c r="AH16" s="64">
        <v>1157</v>
      </c>
      <c r="AI16" s="64">
        <v>927</v>
      </c>
    </row>
    <row r="17" spans="1:35" ht="14.5" x14ac:dyDescent="0.35">
      <c r="A17" s="59" t="s">
        <v>69</v>
      </c>
      <c r="B17" s="59" t="str">
        <f>VLOOKUP(Tabelle_Abfrage_von_MS_Access_Database7[[#This Row],[LAND]],Tabelle_Abfrage_von_MS_Access_Database4[[LAND]:[Partnerland]],2,FALSE)</f>
        <v>Patente, Lizenzen, Franchisen</v>
      </c>
      <c r="C17" s="59" t="s">
        <v>19</v>
      </c>
      <c r="D17" s="59" t="s">
        <v>51</v>
      </c>
      <c r="E17" s="64">
        <v>450</v>
      </c>
      <c r="F17" s="64">
        <v>627</v>
      </c>
      <c r="G17" s="64">
        <v>724</v>
      </c>
      <c r="H17" s="64">
        <v>829</v>
      </c>
      <c r="I17" s="64">
        <v>720</v>
      </c>
      <c r="J17" s="64">
        <v>769</v>
      </c>
      <c r="K17" s="64">
        <v>1013</v>
      </c>
      <c r="L17" s="64">
        <v>1286</v>
      </c>
      <c r="M17" s="64">
        <v>1168</v>
      </c>
      <c r="N17" s="64">
        <v>1196</v>
      </c>
      <c r="O17" s="64">
        <v>1299</v>
      </c>
      <c r="P17" s="64">
        <v>1268</v>
      </c>
      <c r="Q17" s="64">
        <v>1305</v>
      </c>
      <c r="R17" s="64">
        <v>1441</v>
      </c>
      <c r="S17" s="64">
        <v>1220</v>
      </c>
      <c r="T17" s="64">
        <v>1212</v>
      </c>
      <c r="U17" s="64">
        <v>1344</v>
      </c>
      <c r="V17" s="64">
        <v>1522</v>
      </c>
      <c r="W17" s="64">
        <v>1436</v>
      </c>
      <c r="X17" s="64">
        <v>1358</v>
      </c>
      <c r="Y17" s="64">
        <v>1333</v>
      </c>
      <c r="Z17" s="64">
        <v>1336</v>
      </c>
      <c r="AA17" s="64">
        <v>1482</v>
      </c>
      <c r="AB17" s="64">
        <v>1532</v>
      </c>
      <c r="AC17" s="64">
        <v>1886</v>
      </c>
      <c r="AD17" s="64">
        <v>1441</v>
      </c>
      <c r="AE17" s="64">
        <v>1535</v>
      </c>
      <c r="AF17" s="64">
        <v>1758</v>
      </c>
      <c r="AG17" s="64">
        <v>1932</v>
      </c>
      <c r="AH17" s="64">
        <v>2031</v>
      </c>
      <c r="AI17" s="64">
        <v>2314</v>
      </c>
    </row>
    <row r="18" spans="1:35" ht="14.5" x14ac:dyDescent="0.35">
      <c r="A18" s="59" t="s">
        <v>13</v>
      </c>
      <c r="B18" s="59" t="str">
        <f>VLOOKUP(Tabelle_Abfrage_von_MS_Access_Database7[[#This Row],[LAND]],Tabelle_Abfrage_von_MS_Access_Database4[[LAND]:[Partnerland]],2,FALSE)</f>
        <v>Telekommunikation</v>
      </c>
      <c r="C18" s="59" t="s">
        <v>19</v>
      </c>
      <c r="D18" s="59" t="s">
        <v>51</v>
      </c>
      <c r="E18" s="64">
        <v>180</v>
      </c>
      <c r="F18" s="64">
        <v>225</v>
      </c>
      <c r="G18" s="64">
        <v>270</v>
      </c>
      <c r="H18" s="64">
        <v>356</v>
      </c>
      <c r="I18" s="64">
        <v>418</v>
      </c>
      <c r="J18" s="64">
        <v>389</v>
      </c>
      <c r="K18" s="64">
        <v>432</v>
      </c>
      <c r="L18" s="64">
        <v>375</v>
      </c>
      <c r="M18" s="64">
        <v>383</v>
      </c>
      <c r="N18" s="64">
        <v>445</v>
      </c>
      <c r="O18" s="64">
        <v>510</v>
      </c>
      <c r="P18" s="64">
        <v>686</v>
      </c>
      <c r="Q18" s="64">
        <v>743</v>
      </c>
      <c r="R18" s="64">
        <v>700</v>
      </c>
      <c r="S18" s="64">
        <v>657</v>
      </c>
      <c r="T18" s="64">
        <v>620</v>
      </c>
      <c r="U18" s="64">
        <v>612</v>
      </c>
      <c r="V18" s="64">
        <v>638</v>
      </c>
      <c r="W18" s="64">
        <v>571</v>
      </c>
      <c r="X18" s="64">
        <v>590</v>
      </c>
      <c r="Y18" s="64">
        <v>593</v>
      </c>
      <c r="Z18" s="64">
        <v>548</v>
      </c>
      <c r="AA18" s="64">
        <v>622</v>
      </c>
      <c r="AB18" s="64">
        <v>567</v>
      </c>
      <c r="AC18" s="64">
        <v>518</v>
      </c>
      <c r="AD18" s="64">
        <v>492</v>
      </c>
      <c r="AE18" s="64">
        <v>578</v>
      </c>
      <c r="AF18" s="64">
        <v>610</v>
      </c>
      <c r="AG18" s="64">
        <v>604</v>
      </c>
      <c r="AH18" s="64">
        <v>672</v>
      </c>
      <c r="AI18" s="64">
        <v>664</v>
      </c>
    </row>
    <row r="19" spans="1:35" ht="14.5" x14ac:dyDescent="0.35">
      <c r="A19" s="59" t="s">
        <v>14</v>
      </c>
      <c r="B19" s="59" t="str">
        <f>VLOOKUP(Tabelle_Abfrage_von_MS_Access_Database7[[#This Row],[LAND]],Tabelle_Abfrage_von_MS_Access_Database4[[LAND]:[Partnerland]],2,FALSE)</f>
        <v>EDV-Dienstleistungen</v>
      </c>
      <c r="C19" s="59" t="s">
        <v>19</v>
      </c>
      <c r="D19" s="59" t="s">
        <v>51</v>
      </c>
      <c r="E19" s="64">
        <v>271</v>
      </c>
      <c r="F19" s="64">
        <v>355</v>
      </c>
      <c r="G19" s="64">
        <v>396</v>
      </c>
      <c r="H19" s="64">
        <v>492</v>
      </c>
      <c r="I19" s="64">
        <v>524</v>
      </c>
      <c r="J19" s="64">
        <v>552</v>
      </c>
      <c r="K19" s="64">
        <v>618</v>
      </c>
      <c r="L19" s="64">
        <v>692</v>
      </c>
      <c r="M19" s="64">
        <v>731</v>
      </c>
      <c r="N19" s="64">
        <v>833</v>
      </c>
      <c r="O19" s="64">
        <v>918</v>
      </c>
      <c r="P19" s="64">
        <v>1025</v>
      </c>
      <c r="Q19" s="64">
        <v>1176</v>
      </c>
      <c r="R19" s="64">
        <v>1283</v>
      </c>
      <c r="S19" s="64">
        <v>1219</v>
      </c>
      <c r="T19" s="64">
        <v>1273</v>
      </c>
      <c r="U19" s="64">
        <v>1486</v>
      </c>
      <c r="V19" s="64">
        <v>1750</v>
      </c>
      <c r="W19" s="64">
        <v>2449</v>
      </c>
      <c r="X19" s="64">
        <v>2831</v>
      </c>
      <c r="Y19" s="64">
        <v>2945</v>
      </c>
      <c r="Z19" s="64">
        <v>3146</v>
      </c>
      <c r="AA19" s="64">
        <v>3552</v>
      </c>
      <c r="AB19" s="64">
        <v>4859</v>
      </c>
      <c r="AC19" s="64">
        <v>5721</v>
      </c>
      <c r="AD19" s="64">
        <v>6031</v>
      </c>
      <c r="AE19" s="64">
        <v>6936</v>
      </c>
      <c r="AF19" s="64">
        <v>7977</v>
      </c>
      <c r="AG19" s="64">
        <v>8680</v>
      </c>
      <c r="AH19" s="64">
        <v>9815</v>
      </c>
      <c r="AI19" s="64">
        <v>10584</v>
      </c>
    </row>
    <row r="20" spans="1:35" ht="14.5" x14ac:dyDescent="0.35">
      <c r="A20" s="59" t="s">
        <v>70</v>
      </c>
      <c r="B20" s="59" t="str">
        <f>VLOOKUP(Tabelle_Abfrage_von_MS_Access_Database7[[#This Row],[LAND]],Tabelle_Abfrage_von_MS_Access_Database4[[LAND]:[Partnerland]],2,FALSE)</f>
        <v>Informationsdienstleistungen</v>
      </c>
      <c r="C20" s="59" t="s">
        <v>19</v>
      </c>
      <c r="D20" s="59" t="s">
        <v>51</v>
      </c>
      <c r="E20" s="64">
        <v>15</v>
      </c>
      <c r="F20" s="64">
        <v>20</v>
      </c>
      <c r="G20" s="64">
        <v>22</v>
      </c>
      <c r="H20" s="64">
        <v>27</v>
      </c>
      <c r="I20" s="64">
        <v>81</v>
      </c>
      <c r="J20" s="64">
        <v>84</v>
      </c>
      <c r="K20" s="64">
        <v>93</v>
      </c>
      <c r="L20" s="64">
        <v>108</v>
      </c>
      <c r="M20" s="64">
        <v>140</v>
      </c>
      <c r="N20" s="64">
        <v>162</v>
      </c>
      <c r="O20" s="64">
        <v>179</v>
      </c>
      <c r="P20" s="64">
        <v>162</v>
      </c>
      <c r="Q20" s="64">
        <v>234</v>
      </c>
      <c r="R20" s="64">
        <v>290</v>
      </c>
      <c r="S20" s="64">
        <v>273</v>
      </c>
      <c r="T20" s="64">
        <v>260</v>
      </c>
      <c r="U20" s="64">
        <v>189</v>
      </c>
      <c r="V20" s="64">
        <v>212</v>
      </c>
      <c r="W20" s="64">
        <v>249</v>
      </c>
      <c r="X20" s="64">
        <v>263</v>
      </c>
      <c r="Y20" s="64">
        <v>268</v>
      </c>
      <c r="Z20" s="64">
        <v>297</v>
      </c>
      <c r="AA20" s="64">
        <v>327</v>
      </c>
      <c r="AB20" s="64">
        <v>434</v>
      </c>
      <c r="AC20" s="64">
        <v>522</v>
      </c>
      <c r="AD20" s="64">
        <v>540</v>
      </c>
      <c r="AE20" s="64">
        <v>574</v>
      </c>
      <c r="AF20" s="64">
        <v>718</v>
      </c>
      <c r="AG20" s="64">
        <v>813</v>
      </c>
      <c r="AH20" s="64">
        <v>913</v>
      </c>
      <c r="AI20" s="64">
        <v>899</v>
      </c>
    </row>
    <row r="21" spans="1:35" ht="14.5" x14ac:dyDescent="0.35">
      <c r="A21" s="59" t="s">
        <v>71</v>
      </c>
      <c r="B21" s="59" t="str">
        <f>VLOOKUP(Tabelle_Abfrage_von_MS_Access_Database7[[#This Row],[LAND]],Tabelle_Abfrage_von_MS_Access_Database4[[LAND]:[Partnerland]],2,FALSE)</f>
        <v>Forschungs- und Entwicklungsleistungen</v>
      </c>
      <c r="C21" s="59" t="s">
        <v>19</v>
      </c>
      <c r="D21" s="59" t="s">
        <v>51</v>
      </c>
      <c r="E21" s="64">
        <v>66</v>
      </c>
      <c r="F21" s="64">
        <v>64</v>
      </c>
      <c r="G21" s="64">
        <v>65</v>
      </c>
      <c r="H21" s="64">
        <v>93</v>
      </c>
      <c r="I21" s="64">
        <v>81</v>
      </c>
      <c r="J21" s="64">
        <v>128</v>
      </c>
      <c r="K21" s="64">
        <v>182</v>
      </c>
      <c r="L21" s="64">
        <v>167</v>
      </c>
      <c r="M21" s="64">
        <v>159</v>
      </c>
      <c r="N21" s="64">
        <v>203</v>
      </c>
      <c r="O21" s="64">
        <v>236</v>
      </c>
      <c r="P21" s="64">
        <v>338</v>
      </c>
      <c r="Q21" s="64">
        <v>380</v>
      </c>
      <c r="R21" s="64">
        <v>522</v>
      </c>
      <c r="S21" s="64">
        <v>539</v>
      </c>
      <c r="T21" s="64">
        <v>368</v>
      </c>
      <c r="U21" s="64">
        <v>417</v>
      </c>
      <c r="V21" s="64">
        <v>525</v>
      </c>
      <c r="W21" s="64">
        <v>635</v>
      </c>
      <c r="X21" s="64">
        <v>677</v>
      </c>
      <c r="Y21" s="64">
        <v>734</v>
      </c>
      <c r="Z21" s="64">
        <v>816</v>
      </c>
      <c r="AA21" s="64">
        <v>1025</v>
      </c>
      <c r="AB21" s="64">
        <v>973</v>
      </c>
      <c r="AC21" s="64">
        <v>1106</v>
      </c>
      <c r="AD21" s="64">
        <v>1185</v>
      </c>
      <c r="AE21" s="64">
        <v>1321</v>
      </c>
      <c r="AF21" s="64">
        <v>1448</v>
      </c>
      <c r="AG21" s="64">
        <v>1598</v>
      </c>
      <c r="AH21" s="64">
        <v>1635</v>
      </c>
      <c r="AI21" s="64">
        <v>1821</v>
      </c>
    </row>
    <row r="22" spans="1:35" ht="14.5" x14ac:dyDescent="0.35">
      <c r="A22" s="59" t="s">
        <v>15</v>
      </c>
      <c r="B22" s="59" t="str">
        <f>VLOOKUP(Tabelle_Abfrage_von_MS_Access_Database7[[#This Row],[LAND]],Tabelle_Abfrage_von_MS_Access_Database4[[LAND]:[Partnerland]],2,FALSE)</f>
        <v>Rechts- und Wirtschaftsdienste, Werbung und Marktforschung</v>
      </c>
      <c r="C22" s="59" t="s">
        <v>19</v>
      </c>
      <c r="D22" s="59" t="s">
        <v>51</v>
      </c>
      <c r="E22" s="64">
        <v>679</v>
      </c>
      <c r="F22" s="64">
        <v>798</v>
      </c>
      <c r="G22" s="64">
        <v>868</v>
      </c>
      <c r="H22" s="64">
        <v>998</v>
      </c>
      <c r="I22" s="64">
        <v>925</v>
      </c>
      <c r="J22" s="64">
        <v>950</v>
      </c>
      <c r="K22" s="64">
        <v>942</v>
      </c>
      <c r="L22" s="64">
        <v>1020</v>
      </c>
      <c r="M22" s="64">
        <v>1044</v>
      </c>
      <c r="N22" s="64">
        <v>1212</v>
      </c>
      <c r="O22" s="64">
        <v>1359</v>
      </c>
      <c r="P22" s="64">
        <v>1487</v>
      </c>
      <c r="Q22" s="64">
        <v>1484</v>
      </c>
      <c r="R22" s="64">
        <v>1564</v>
      </c>
      <c r="S22" s="64">
        <v>1419</v>
      </c>
      <c r="T22" s="64">
        <v>1473</v>
      </c>
      <c r="U22" s="64">
        <v>1726</v>
      </c>
      <c r="V22" s="64">
        <v>1983</v>
      </c>
      <c r="W22" s="64">
        <v>2920</v>
      </c>
      <c r="X22" s="64">
        <v>3419</v>
      </c>
      <c r="Y22" s="64">
        <v>3563</v>
      </c>
      <c r="Z22" s="64">
        <v>3759</v>
      </c>
      <c r="AA22" s="64">
        <v>4252</v>
      </c>
      <c r="AB22" s="64">
        <v>4553</v>
      </c>
      <c r="AC22" s="64">
        <v>4770</v>
      </c>
      <c r="AD22" s="64">
        <v>4561</v>
      </c>
      <c r="AE22" s="64">
        <v>5034</v>
      </c>
      <c r="AF22" s="64">
        <v>6443</v>
      </c>
      <c r="AG22" s="64">
        <v>7088</v>
      </c>
      <c r="AH22" s="64">
        <v>7730</v>
      </c>
      <c r="AI22" s="64">
        <v>8231</v>
      </c>
    </row>
    <row r="23" spans="1:35" ht="14.5" x14ac:dyDescent="0.35">
      <c r="A23" s="59" t="s">
        <v>16</v>
      </c>
      <c r="B23" s="59" t="str">
        <f>VLOOKUP(Tabelle_Abfrage_von_MS_Access_Database7[[#This Row],[LAND]],Tabelle_Abfrage_von_MS_Access_Database4[[LAND]:[Partnerland]],2,FALSE)</f>
        <v>Technische, Handels- und sonstige unternehmensbezogene Dienstleistungen</v>
      </c>
      <c r="C23" s="59" t="s">
        <v>19</v>
      </c>
      <c r="D23" s="59" t="s">
        <v>51</v>
      </c>
      <c r="E23" s="64">
        <v>1554</v>
      </c>
      <c r="F23" s="64">
        <v>1704</v>
      </c>
      <c r="G23" s="64">
        <v>1752</v>
      </c>
      <c r="H23" s="64">
        <v>1794</v>
      </c>
      <c r="I23" s="64">
        <v>1780</v>
      </c>
      <c r="J23" s="64">
        <v>1970</v>
      </c>
      <c r="K23" s="64">
        <v>2046</v>
      </c>
      <c r="L23" s="64">
        <v>2014</v>
      </c>
      <c r="M23" s="64">
        <v>2036</v>
      </c>
      <c r="N23" s="64">
        <v>2192</v>
      </c>
      <c r="O23" s="64">
        <v>2473</v>
      </c>
      <c r="P23" s="64">
        <v>2629</v>
      </c>
      <c r="Q23" s="64">
        <v>2586</v>
      </c>
      <c r="R23" s="64">
        <v>2767</v>
      </c>
      <c r="S23" s="64">
        <v>2721</v>
      </c>
      <c r="T23" s="64">
        <v>2629</v>
      </c>
      <c r="U23" s="64">
        <v>3235</v>
      </c>
      <c r="V23" s="64">
        <v>4011</v>
      </c>
      <c r="W23" s="64">
        <v>4906</v>
      </c>
      <c r="X23" s="64">
        <v>5232</v>
      </c>
      <c r="Y23" s="64">
        <v>5639</v>
      </c>
      <c r="Z23" s="64">
        <v>5940</v>
      </c>
      <c r="AA23" s="64">
        <v>6504</v>
      </c>
      <c r="AB23" s="64">
        <v>7693</v>
      </c>
      <c r="AC23" s="64">
        <v>8669</v>
      </c>
      <c r="AD23" s="64">
        <v>8310</v>
      </c>
      <c r="AE23" s="64">
        <v>9003</v>
      </c>
      <c r="AF23" s="64">
        <v>10705</v>
      </c>
      <c r="AG23" s="64">
        <v>11977</v>
      </c>
      <c r="AH23" s="64">
        <v>12776</v>
      </c>
      <c r="AI23" s="64">
        <v>13261</v>
      </c>
    </row>
    <row r="24" spans="1:35" ht="14.5" x14ac:dyDescent="0.35">
      <c r="A24" s="59" t="s">
        <v>104</v>
      </c>
      <c r="B24" s="59" t="str">
        <f>VLOOKUP(Tabelle_Abfrage_von_MS_Access_Database7[[#This Row],[LAND]],Tabelle_Abfrage_von_MS_Access_Database4[[LAND]:[Partnerland]],2,FALSE)</f>
        <v>Audiovisuelle und künstlerische Dienstleistungen</v>
      </c>
      <c r="C24" s="59" t="s">
        <v>19</v>
      </c>
      <c r="D24" s="59" t="s">
        <v>51</v>
      </c>
      <c r="E24" s="64">
        <v>28</v>
      </c>
      <c r="F24" s="64">
        <v>34</v>
      </c>
      <c r="G24" s="64">
        <v>43</v>
      </c>
      <c r="H24" s="64">
        <v>40</v>
      </c>
      <c r="I24" s="64">
        <v>38</v>
      </c>
      <c r="J24" s="64">
        <v>44</v>
      </c>
      <c r="K24" s="64">
        <v>54</v>
      </c>
      <c r="L24" s="64">
        <v>62</v>
      </c>
      <c r="M24" s="64">
        <v>80</v>
      </c>
      <c r="N24" s="64">
        <v>108</v>
      </c>
      <c r="O24" s="64">
        <v>113</v>
      </c>
      <c r="P24" s="64">
        <v>114</v>
      </c>
      <c r="Q24" s="64">
        <v>110</v>
      </c>
      <c r="R24" s="64">
        <v>110</v>
      </c>
      <c r="S24" s="64">
        <v>101</v>
      </c>
      <c r="T24" s="64">
        <v>172</v>
      </c>
      <c r="U24" s="64">
        <v>201</v>
      </c>
      <c r="V24" s="64">
        <v>250</v>
      </c>
      <c r="W24" s="64">
        <v>261</v>
      </c>
      <c r="X24" s="64">
        <v>299</v>
      </c>
      <c r="Y24" s="64">
        <v>352</v>
      </c>
      <c r="Z24" s="64">
        <v>415</v>
      </c>
      <c r="AA24" s="64">
        <v>472</v>
      </c>
      <c r="AB24" s="64">
        <v>540</v>
      </c>
      <c r="AC24" s="64">
        <v>650</v>
      </c>
      <c r="AD24" s="64">
        <v>611</v>
      </c>
      <c r="AE24" s="64">
        <v>750</v>
      </c>
      <c r="AF24" s="64">
        <v>987</v>
      </c>
      <c r="AG24" s="64">
        <v>1173</v>
      </c>
      <c r="AH24" s="64">
        <v>1306</v>
      </c>
      <c r="AI24" s="64">
        <v>1403</v>
      </c>
    </row>
    <row r="25" spans="1:35" ht="14.5" x14ac:dyDescent="0.35">
      <c r="A25" s="59" t="s">
        <v>105</v>
      </c>
      <c r="B25" s="59" t="str">
        <f>VLOOKUP(Tabelle_Abfrage_von_MS_Access_Database7[[#This Row],[LAND]],Tabelle_Abfrage_von_MS_Access_Database4[[LAND]:[Partnerland]],2,FALSE)</f>
        <v>Gesundheitsdienstleistungen</v>
      </c>
      <c r="C25" s="59" t="s">
        <v>19</v>
      </c>
      <c r="D25" s="59" t="s">
        <v>51</v>
      </c>
      <c r="E25" s="64">
        <v>92</v>
      </c>
      <c r="F25" s="64">
        <v>113</v>
      </c>
      <c r="G25" s="64">
        <v>141</v>
      </c>
      <c r="H25" s="64">
        <v>132</v>
      </c>
      <c r="I25" s="64">
        <v>125</v>
      </c>
      <c r="J25" s="64">
        <v>146</v>
      </c>
      <c r="K25" s="64">
        <v>178</v>
      </c>
      <c r="L25" s="64">
        <v>204</v>
      </c>
      <c r="M25" s="64">
        <v>266</v>
      </c>
      <c r="N25" s="64">
        <v>359</v>
      </c>
      <c r="O25" s="64">
        <v>375</v>
      </c>
      <c r="P25" s="64">
        <v>425</v>
      </c>
      <c r="Q25" s="64">
        <v>407</v>
      </c>
      <c r="R25" s="64">
        <v>421</v>
      </c>
      <c r="S25" s="64">
        <v>421</v>
      </c>
      <c r="T25" s="64">
        <v>471</v>
      </c>
      <c r="U25" s="64">
        <v>404</v>
      </c>
      <c r="V25" s="64">
        <v>432</v>
      </c>
      <c r="W25" s="64">
        <v>457</v>
      </c>
      <c r="X25" s="64">
        <v>498</v>
      </c>
      <c r="Y25" s="64">
        <v>519</v>
      </c>
      <c r="Z25" s="64">
        <v>564</v>
      </c>
      <c r="AA25" s="64">
        <v>529</v>
      </c>
      <c r="AB25" s="64">
        <v>541</v>
      </c>
      <c r="AC25" s="64">
        <v>587</v>
      </c>
      <c r="AD25" s="64">
        <v>611</v>
      </c>
      <c r="AE25" s="64">
        <v>559</v>
      </c>
      <c r="AF25" s="64">
        <v>623</v>
      </c>
      <c r="AG25" s="64">
        <v>607</v>
      </c>
      <c r="AH25" s="64">
        <v>689</v>
      </c>
      <c r="AI25" s="64">
        <v>660</v>
      </c>
    </row>
    <row r="26" spans="1:35" ht="14.5" x14ac:dyDescent="0.35">
      <c r="A26" s="59" t="s">
        <v>106</v>
      </c>
      <c r="B26" s="59" t="str">
        <f>VLOOKUP(Tabelle_Abfrage_von_MS_Access_Database7[[#This Row],[LAND]],Tabelle_Abfrage_von_MS_Access_Database4[[LAND]:[Partnerland]],2,FALSE)</f>
        <v>Bildungsdienstleistungen</v>
      </c>
      <c r="C26" s="59" t="s">
        <v>19</v>
      </c>
      <c r="D26" s="59" t="s">
        <v>51</v>
      </c>
      <c r="E26" s="64">
        <v>10</v>
      </c>
      <c r="F26" s="64">
        <v>12</v>
      </c>
      <c r="G26" s="64">
        <v>15</v>
      </c>
      <c r="H26" s="64">
        <v>14</v>
      </c>
      <c r="I26" s="64">
        <v>13</v>
      </c>
      <c r="J26" s="64">
        <v>15</v>
      </c>
      <c r="K26" s="64">
        <v>19</v>
      </c>
      <c r="L26" s="64">
        <v>21</v>
      </c>
      <c r="M26" s="64">
        <v>28</v>
      </c>
      <c r="N26" s="64">
        <v>38</v>
      </c>
      <c r="O26" s="64">
        <v>40</v>
      </c>
      <c r="P26" s="64">
        <v>40</v>
      </c>
      <c r="Q26" s="64">
        <v>49</v>
      </c>
      <c r="R26" s="64">
        <v>57</v>
      </c>
      <c r="S26" s="64">
        <v>46</v>
      </c>
      <c r="T26" s="64">
        <v>46</v>
      </c>
      <c r="U26" s="64">
        <v>56</v>
      </c>
      <c r="V26" s="64">
        <v>65</v>
      </c>
      <c r="W26" s="64">
        <v>78</v>
      </c>
      <c r="X26" s="64">
        <v>97</v>
      </c>
      <c r="Y26" s="64">
        <v>115</v>
      </c>
      <c r="Z26" s="64">
        <v>76</v>
      </c>
      <c r="AA26" s="64">
        <v>90</v>
      </c>
      <c r="AB26" s="64">
        <v>100</v>
      </c>
      <c r="AC26" s="64">
        <v>111</v>
      </c>
      <c r="AD26" s="64">
        <v>75</v>
      </c>
      <c r="AE26" s="64">
        <v>83</v>
      </c>
      <c r="AF26" s="64">
        <v>117</v>
      </c>
      <c r="AG26" s="64">
        <v>116</v>
      </c>
      <c r="AH26" s="64">
        <v>154</v>
      </c>
      <c r="AI26" s="64">
        <v>149</v>
      </c>
    </row>
    <row r="27" spans="1:35" ht="14.5" x14ac:dyDescent="0.35">
      <c r="A27" s="59" t="s">
        <v>107</v>
      </c>
      <c r="B27" s="59" t="str">
        <f>VLOOKUP(Tabelle_Abfrage_von_MS_Access_Database7[[#This Row],[LAND]],Tabelle_Abfrage_von_MS_Access_Database4[[LAND]:[Partnerland]],2,FALSE)</f>
        <v>Dienstleistungen für Kultur und Freizeit</v>
      </c>
      <c r="C27" s="59" t="s">
        <v>19</v>
      </c>
      <c r="D27" s="59" t="s">
        <v>51</v>
      </c>
      <c r="E27" s="65"/>
      <c r="F27" s="65"/>
      <c r="G27" s="65"/>
      <c r="H27" s="65"/>
      <c r="I27" s="65"/>
      <c r="J27" s="65"/>
      <c r="K27" s="65"/>
      <c r="L27" s="65"/>
      <c r="M27" s="65"/>
      <c r="N27" s="65"/>
      <c r="O27" s="65"/>
      <c r="P27" s="65"/>
      <c r="Q27" s="65"/>
      <c r="R27" s="65"/>
      <c r="S27" s="65"/>
      <c r="T27" s="65"/>
      <c r="U27" s="65"/>
      <c r="V27" s="65"/>
      <c r="W27" s="64">
        <v>24</v>
      </c>
      <c r="X27" s="64">
        <v>17</v>
      </c>
      <c r="Y27" s="64">
        <v>21</v>
      </c>
      <c r="Z27" s="64">
        <v>26</v>
      </c>
      <c r="AA27" s="64">
        <v>34</v>
      </c>
      <c r="AB27" s="64">
        <v>52</v>
      </c>
      <c r="AC27" s="64">
        <v>58</v>
      </c>
      <c r="AD27" s="64">
        <v>67</v>
      </c>
      <c r="AE27" s="64">
        <v>75</v>
      </c>
      <c r="AF27" s="64">
        <v>98</v>
      </c>
      <c r="AG27" s="64">
        <v>114</v>
      </c>
      <c r="AH27" s="64">
        <v>139</v>
      </c>
      <c r="AI27" s="64">
        <v>167</v>
      </c>
    </row>
    <row r="28" spans="1:35" ht="14.5" x14ac:dyDescent="0.35">
      <c r="A28" s="59" t="s">
        <v>108</v>
      </c>
      <c r="B28" s="59" t="str">
        <f>VLOOKUP(Tabelle_Abfrage_von_MS_Access_Database7[[#This Row],[LAND]],Tabelle_Abfrage_von_MS_Access_Database4[[LAND]:[Partnerland]],2,FALSE)</f>
        <v>übrige persönliche Dienstleistungen</v>
      </c>
      <c r="C28" s="59" t="s">
        <v>19</v>
      </c>
      <c r="D28" s="59" t="s">
        <v>51</v>
      </c>
      <c r="E28" s="64">
        <v>13</v>
      </c>
      <c r="F28" s="64">
        <v>16</v>
      </c>
      <c r="G28" s="64">
        <v>21</v>
      </c>
      <c r="H28" s="64">
        <v>19</v>
      </c>
      <c r="I28" s="64">
        <v>18</v>
      </c>
      <c r="J28" s="64">
        <v>21</v>
      </c>
      <c r="K28" s="64">
        <v>26</v>
      </c>
      <c r="L28" s="64">
        <v>30</v>
      </c>
      <c r="M28" s="64">
        <v>39</v>
      </c>
      <c r="N28" s="64">
        <v>52</v>
      </c>
      <c r="O28" s="64">
        <v>55</v>
      </c>
      <c r="P28" s="64">
        <v>55</v>
      </c>
      <c r="Q28" s="64">
        <v>50</v>
      </c>
      <c r="R28" s="64">
        <v>62</v>
      </c>
      <c r="S28" s="64">
        <v>59</v>
      </c>
      <c r="T28" s="64">
        <v>59</v>
      </c>
      <c r="U28" s="64">
        <v>60</v>
      </c>
      <c r="V28" s="64">
        <v>80</v>
      </c>
      <c r="W28" s="64">
        <v>124</v>
      </c>
      <c r="X28" s="64">
        <v>141</v>
      </c>
      <c r="Y28" s="64">
        <v>131</v>
      </c>
      <c r="Z28" s="64">
        <v>145</v>
      </c>
      <c r="AA28" s="64">
        <v>154</v>
      </c>
      <c r="AB28" s="64">
        <v>163</v>
      </c>
      <c r="AC28" s="64">
        <v>180</v>
      </c>
      <c r="AD28" s="64">
        <v>138</v>
      </c>
      <c r="AE28" s="64">
        <v>124</v>
      </c>
      <c r="AF28" s="64">
        <v>177</v>
      </c>
      <c r="AG28" s="64">
        <v>170</v>
      </c>
      <c r="AH28" s="64">
        <v>224</v>
      </c>
      <c r="AI28" s="64">
        <v>207</v>
      </c>
    </row>
    <row r="29" spans="1:35" ht="14.5" x14ac:dyDescent="0.35">
      <c r="A29" s="59" t="s">
        <v>109</v>
      </c>
      <c r="B29" s="59" t="str">
        <f>VLOOKUP(Tabelle_Abfrage_von_MS_Access_Database7[[#This Row],[LAND]],Tabelle_Abfrage_von_MS_Access_Database4[[LAND]:[Partnerland]],2,FALSE)</f>
        <v>Regierungsdienstleistungen (Int. Org.)</v>
      </c>
      <c r="C29" s="59" t="s">
        <v>19</v>
      </c>
      <c r="D29" s="59" t="s">
        <v>51</v>
      </c>
      <c r="E29" s="64">
        <v>111</v>
      </c>
      <c r="F29" s="64">
        <v>105</v>
      </c>
      <c r="G29" s="64">
        <v>122</v>
      </c>
      <c r="H29" s="64">
        <v>113</v>
      </c>
      <c r="I29" s="64">
        <v>109</v>
      </c>
      <c r="J29" s="64">
        <v>86</v>
      </c>
      <c r="K29" s="64">
        <v>71</v>
      </c>
      <c r="L29" s="64">
        <v>87</v>
      </c>
      <c r="M29" s="64">
        <v>82</v>
      </c>
      <c r="N29" s="64">
        <v>71</v>
      </c>
      <c r="O29" s="64">
        <v>85</v>
      </c>
      <c r="P29" s="64">
        <v>84</v>
      </c>
      <c r="Q29" s="64">
        <v>89</v>
      </c>
      <c r="R29" s="64">
        <v>87</v>
      </c>
      <c r="S29" s="64">
        <v>84</v>
      </c>
      <c r="T29" s="64">
        <v>86</v>
      </c>
      <c r="U29" s="64">
        <v>94</v>
      </c>
      <c r="V29" s="64">
        <v>90</v>
      </c>
      <c r="W29" s="64">
        <v>96</v>
      </c>
      <c r="X29" s="64">
        <v>95</v>
      </c>
      <c r="Y29" s="64">
        <v>95</v>
      </c>
      <c r="Z29" s="64">
        <v>97</v>
      </c>
      <c r="AA29" s="64">
        <v>99</v>
      </c>
      <c r="AB29" s="64">
        <v>98</v>
      </c>
      <c r="AC29" s="64">
        <v>108</v>
      </c>
      <c r="AD29" s="64">
        <v>111</v>
      </c>
      <c r="AE29" s="64">
        <v>170</v>
      </c>
      <c r="AF29" s="64">
        <v>179</v>
      </c>
      <c r="AG29" s="64">
        <v>188</v>
      </c>
      <c r="AH29" s="64">
        <v>200</v>
      </c>
      <c r="AI29" s="64">
        <v>213</v>
      </c>
    </row>
    <row r="30" spans="1:35" ht="14.5" x14ac:dyDescent="0.35">
      <c r="A30" s="59" t="s">
        <v>110</v>
      </c>
      <c r="B30" s="59" t="str">
        <f>VLOOKUP(Tabelle_Abfrage_von_MS_Access_Database7[[#This Row],[LAND]],Tabelle_Abfrage_von_MS_Access_Database4[[LAND]:[Partnerland]],2,FALSE)</f>
        <v>Dienstleistungen</v>
      </c>
      <c r="C30" s="59" t="s">
        <v>19</v>
      </c>
      <c r="D30" s="59" t="s">
        <v>51</v>
      </c>
      <c r="E30" s="64">
        <v>14512</v>
      </c>
      <c r="F30" s="64">
        <v>15797</v>
      </c>
      <c r="G30" s="64">
        <v>16440</v>
      </c>
      <c r="H30" s="64">
        <v>16907</v>
      </c>
      <c r="I30" s="64">
        <v>16972</v>
      </c>
      <c r="J30" s="64">
        <v>18727</v>
      </c>
      <c r="K30" s="64">
        <v>20564</v>
      </c>
      <c r="L30" s="64">
        <v>21271</v>
      </c>
      <c r="M30" s="64">
        <v>22271</v>
      </c>
      <c r="N30" s="64">
        <v>23535</v>
      </c>
      <c r="O30" s="64">
        <v>25764</v>
      </c>
      <c r="P30" s="64">
        <v>27978</v>
      </c>
      <c r="Q30" s="64">
        <v>29871</v>
      </c>
      <c r="R30" s="64">
        <v>30767</v>
      </c>
      <c r="S30" s="64">
        <v>27970</v>
      </c>
      <c r="T30" s="64">
        <v>29319</v>
      </c>
      <c r="U30" s="64">
        <v>31950</v>
      </c>
      <c r="V30" s="64">
        <v>34382</v>
      </c>
      <c r="W30" s="64">
        <v>39076</v>
      </c>
      <c r="X30" s="64">
        <v>41792</v>
      </c>
      <c r="Y30" s="64">
        <v>43236</v>
      </c>
      <c r="Z30" s="64">
        <v>45182</v>
      </c>
      <c r="AA30" s="64">
        <v>49529</v>
      </c>
      <c r="AB30" s="64">
        <v>54520</v>
      </c>
      <c r="AC30" s="64">
        <v>59061</v>
      </c>
      <c r="AD30" s="64">
        <v>49020</v>
      </c>
      <c r="AE30" s="64">
        <v>57010</v>
      </c>
      <c r="AF30" s="64">
        <v>73021</v>
      </c>
      <c r="AG30" s="64">
        <v>78049</v>
      </c>
      <c r="AH30" s="64">
        <v>83649</v>
      </c>
      <c r="AI30" s="67">
        <v>86755</v>
      </c>
    </row>
  </sheetData>
  <phoneticPr fontId="2" type="noConversion"/>
  <pageMargins left="0.7" right="0.7" top="0.78740157499999996" bottom="0.78740157499999996"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AI58"/>
  <sheetViews>
    <sheetView topLeftCell="E1" workbookViewId="0">
      <selection activeCell="G59" sqref="G59"/>
    </sheetView>
  </sheetViews>
  <sheetFormatPr baseColWidth="10" defaultRowHeight="12.5" x14ac:dyDescent="0.25"/>
  <cols>
    <col min="1" max="1" width="34.1796875" bestFit="1" customWidth="1"/>
    <col min="2" max="2" width="16.1796875" bestFit="1" customWidth="1"/>
    <col min="3" max="3" width="12" bestFit="1" customWidth="1"/>
    <col min="5" max="5" width="12" bestFit="1" customWidth="1"/>
  </cols>
  <sheetData>
    <row r="1" spans="1:35" x14ac:dyDescent="0.25">
      <c r="A1" t="s">
        <v>39</v>
      </c>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row>
    <row r="2" spans="1:35" x14ac:dyDescent="0.25">
      <c r="B2" s="8"/>
      <c r="C2" t="s">
        <v>53</v>
      </c>
      <c r="D2" t="s">
        <v>54</v>
      </c>
      <c r="E2">
        <f>VALUE(Tabelle_Abfrage_von_MS_Access_Database[[#Headers],[1995]])</f>
        <v>1995</v>
      </c>
      <c r="F2">
        <f>VALUE(Tabelle_Abfrage_von_MS_Access_Database[[#Headers],[1996]])</f>
        <v>1996</v>
      </c>
      <c r="G2">
        <f>VALUE(Tabelle_Abfrage_von_MS_Access_Database[[#Headers],[1997]])</f>
        <v>1997</v>
      </c>
      <c r="H2">
        <f>VALUE(Tabelle_Abfrage_von_MS_Access_Database[[#Headers],[1998]])</f>
        <v>1998</v>
      </c>
      <c r="I2">
        <f>VALUE(Tabelle_Abfrage_von_MS_Access_Database[[#Headers],[1999]])</f>
        <v>1999</v>
      </c>
      <c r="J2">
        <f>VALUE(Tabelle_Abfrage_von_MS_Access_Database[[#Headers],[2000]])</f>
        <v>2000</v>
      </c>
      <c r="K2">
        <f>VALUE(Tabelle_Abfrage_von_MS_Access_Database[[#Headers],[2001]])</f>
        <v>2001</v>
      </c>
      <c r="L2">
        <f>VALUE(Tabelle_Abfrage_von_MS_Access_Database[[#Headers],[2002]])</f>
        <v>2002</v>
      </c>
      <c r="M2">
        <f>VALUE(Tabelle_Abfrage_von_MS_Access_Database[[#Headers],[2003]])</f>
        <v>2003</v>
      </c>
      <c r="N2">
        <f>VALUE(Tabelle_Abfrage_von_MS_Access_Database[[#Headers],[2004]])</f>
        <v>2004</v>
      </c>
      <c r="O2">
        <f>VALUE(Tabelle_Abfrage_von_MS_Access_Database[[#Headers],[2005]])</f>
        <v>2005</v>
      </c>
      <c r="P2">
        <f>VALUE(Tabelle_Abfrage_von_MS_Access_Database[[#Headers],[2006]])</f>
        <v>2006</v>
      </c>
      <c r="Q2">
        <f>VALUE(Tabelle_Abfrage_von_MS_Access_Database[[#Headers],[2007]])</f>
        <v>2007</v>
      </c>
      <c r="R2">
        <f>VALUE(Tabelle_Abfrage_von_MS_Access_Database[[#Headers],[2008]])</f>
        <v>2008</v>
      </c>
      <c r="S2">
        <f>VALUE(Tabelle_Abfrage_von_MS_Access_Database[[#Headers],[2009]])</f>
        <v>2009</v>
      </c>
      <c r="T2">
        <f>VALUE(Tabelle_Abfrage_von_MS_Access_Database[[#Headers],[2010]])</f>
        <v>2010</v>
      </c>
      <c r="U2">
        <f>VALUE(Tabelle_Abfrage_von_MS_Access_Database[[#Headers],[2011]])</f>
        <v>2011</v>
      </c>
      <c r="V2">
        <f>VALUE(Tabelle_Abfrage_von_MS_Access_Database[[#Headers],[2012]])</f>
        <v>2012</v>
      </c>
      <c r="W2">
        <f>VALUE(Tabelle_Abfrage_von_MS_Access_Database[[#Headers],[2013]])</f>
        <v>2013</v>
      </c>
      <c r="X2">
        <f>VALUE(Tabelle_Abfrage_von_MS_Access_Database[[#Headers],[2014]])</f>
        <v>2014</v>
      </c>
      <c r="Y2">
        <f>VALUE(Tabelle_Abfrage_von_MS_Access_Database[[#Headers],[2015]])</f>
        <v>2015</v>
      </c>
      <c r="Z2">
        <f>VALUE(Tabelle_Abfrage_von_MS_Access_Database[[#Headers],[2016]])</f>
        <v>2016</v>
      </c>
      <c r="AA2">
        <f>VALUE(Tabelle_Abfrage_von_MS_Access_Database[[#Headers],[2017]])</f>
        <v>2017</v>
      </c>
      <c r="AB2">
        <f>VALUE(Tabelle_Abfrage_von_MS_Access_Database[[#Headers],[2018]])</f>
        <v>2018</v>
      </c>
      <c r="AC2">
        <f>VALUE(Tabelle_Abfrage_von_MS_Access_Database[[#Headers],[2019]])</f>
        <v>2019</v>
      </c>
      <c r="AD2">
        <f>VALUE(Tabelle_Abfrage_von_MS_Access_Database[[#Headers],[2020]])</f>
        <v>2020</v>
      </c>
      <c r="AE2">
        <f>VALUE(Tabelle_Abfrage_von_MS_Access_Database[[#Headers],[2021]])</f>
        <v>2021</v>
      </c>
      <c r="AF2">
        <f>VALUE(Tabelle_Abfrage_von_MS_Access_Database[[#Headers],[2022]])</f>
        <v>2022</v>
      </c>
      <c r="AG2">
        <f>VALUE(Tabelle_Abfrage_von_MS_Access_Database[[#Headers],[2023]])</f>
        <v>2023</v>
      </c>
      <c r="AH2">
        <f>VALUE(Tabelle_Abfrage_von_MS_Access_Database[[#Headers],[2024]])</f>
        <v>2024</v>
      </c>
      <c r="AI2">
        <f>VALUE(Tabelle_Abfrage_von_MS_Access_Database[[#Headers],[2025]])</f>
        <v>2025</v>
      </c>
    </row>
    <row r="3" spans="1:35" x14ac:dyDescent="0.25">
      <c r="A3">
        <f>IF(VALUE(C3)=MAX(Max_Jahr),VLOOKUP(VALUE(C3)-1,Export_Basis_Jahr,2,FALSE),VLOOKUP(VALUE(C3),Export_Basis_Jahr,2,FALSE))</f>
        <v>4</v>
      </c>
      <c r="B3" s="5" t="str">
        <f>VLOOKUP(Außenhandelspartner,Export_Matrix,B1,FALSE)</f>
        <v>Privatreisen</v>
      </c>
      <c r="C3" s="5" t="str">
        <f>VLOOKUP(Außenhandelspartner,Export_Matrix,C1,FALSE)</f>
        <v>1995</v>
      </c>
      <c r="D3" s="5" t="str">
        <f>VLOOKUP(Außenhandelspartner,Export_Matrix,D1,FALSE)</f>
        <v>9999</v>
      </c>
      <c r="E3" s="5">
        <f t="shared" ref="E3:X3" si="0">VLOOKUP(Außenhandelspartner,Export_Matrix,E1,FALSE)/Einheit_Wert</f>
        <v>8337</v>
      </c>
      <c r="F3" s="5">
        <f t="shared" si="0"/>
        <v>8286</v>
      </c>
      <c r="G3" s="5">
        <f t="shared" si="0"/>
        <v>8156</v>
      </c>
      <c r="H3" s="5">
        <f t="shared" si="0"/>
        <v>8068</v>
      </c>
      <c r="I3" s="5">
        <f t="shared" si="0"/>
        <v>8463</v>
      </c>
      <c r="J3" s="5">
        <f t="shared" si="0"/>
        <v>8875</v>
      </c>
      <c r="K3" s="5">
        <f t="shared" si="0"/>
        <v>9290</v>
      </c>
      <c r="L3" s="5">
        <f t="shared" si="0"/>
        <v>9752</v>
      </c>
      <c r="M3" s="5">
        <f t="shared" si="0"/>
        <v>10051</v>
      </c>
      <c r="N3" s="5">
        <f t="shared" si="0"/>
        <v>10213</v>
      </c>
      <c r="O3" s="5">
        <f t="shared" si="0"/>
        <v>10590</v>
      </c>
      <c r="P3" s="5">
        <f t="shared" si="0"/>
        <v>10822</v>
      </c>
      <c r="Q3" s="5">
        <f t="shared" si="0"/>
        <v>11003</v>
      </c>
      <c r="R3" s="5">
        <f t="shared" si="0"/>
        <v>12107</v>
      </c>
      <c r="S3" s="5">
        <f t="shared" si="0"/>
        <v>11727</v>
      </c>
      <c r="T3" s="5">
        <f t="shared" si="0"/>
        <v>11875</v>
      </c>
      <c r="U3" s="5">
        <f t="shared" si="0"/>
        <v>12147</v>
      </c>
      <c r="V3" s="5">
        <f t="shared" si="0"/>
        <v>12508</v>
      </c>
      <c r="W3" s="5">
        <f t="shared" si="0"/>
        <v>12939</v>
      </c>
      <c r="X3" s="5">
        <f t="shared" si="0"/>
        <v>13371</v>
      </c>
      <c r="Y3" s="5">
        <f t="shared" ref="Y3:Z3" si="1">VLOOKUP(Außenhandelspartner,Export_Matrix,Y1,FALSE)/Einheit_Wert</f>
        <v>14139</v>
      </c>
      <c r="Z3" s="5">
        <f t="shared" si="1"/>
        <v>14967</v>
      </c>
      <c r="AA3" s="5">
        <f t="shared" ref="AA3:AB3" si="2">VLOOKUP(Außenhandelspartner,Export_Matrix,AA1,FALSE)/Einheit_Wert</f>
        <v>15672</v>
      </c>
      <c r="AB3" s="5">
        <f t="shared" si="2"/>
        <v>16868</v>
      </c>
      <c r="AC3" s="5">
        <f t="shared" ref="AC3:AD3" si="3">VLOOKUP(Außenhandelspartner,Export_Matrix,AC1,FALSE)/Einheit_Wert</f>
        <v>17554</v>
      </c>
      <c r="AD3" s="5">
        <f t="shared" si="3"/>
        <v>10292</v>
      </c>
      <c r="AE3" s="5">
        <f t="shared" ref="AE3:AF3" si="4">VLOOKUP(Außenhandelspartner,Export_Matrix,AE1,FALSE)/Einheit_Wert</f>
        <v>7077</v>
      </c>
      <c r="AF3" s="5">
        <f t="shared" si="4"/>
        <v>16208</v>
      </c>
      <c r="AG3" s="5">
        <f t="shared" ref="AG3:AH3" si="5">VLOOKUP(Außenhandelspartner,Export_Matrix,AG1,FALSE)/Einheit_Wert</f>
        <v>19570</v>
      </c>
      <c r="AH3" s="5">
        <f t="shared" si="5"/>
        <v>20804</v>
      </c>
      <c r="AI3" s="5">
        <f t="shared" ref="AI3" si="6">VLOOKUP(Außenhandelspartner,Export_Matrix,AI1,FALSE)/Einheit_Wert</f>
        <v>22238</v>
      </c>
    </row>
    <row r="4" spans="1:35" x14ac:dyDescent="0.25">
      <c r="A4">
        <f>VLOOKUP(IF(D3="9999",MAX(Max_Jahr),VALUE(D3)),Export_Basis_Jahr,2,FALSE)</f>
        <v>34</v>
      </c>
      <c r="B4" t="str">
        <f>IF(Texte!$A$1=1,VLOOKUP("Dienstleistungen",Export_Matrix,B1,FALSE),VLOOKUP("Services",Export_Matrix,B1,FALSE))</f>
        <v>Dienstleistungen</v>
      </c>
      <c r="C4" t="str">
        <f>IF(Texte!$A$1=1,VLOOKUP("Dienstleistungen",Export_Matrix,C1,FALSE),VLOOKUP("Services",Export_Matrix,C1,FALSE))</f>
        <v>1995</v>
      </c>
      <c r="D4" t="str">
        <f>IF(Texte!$A$1=1,VLOOKUP("Dienstleistungen",Export_Matrix,D1,FALSE),VLOOKUP("Services",Export_Matrix,D1,FALSE))</f>
        <v>9999</v>
      </c>
      <c r="E4">
        <f>IF(Texte!$A$1=1,VLOOKUP("Dienstleistungen",Export_Matrix,E1,FALSE),VLOOKUP("Services",Export_Matrix,E1,FALSE))</f>
        <v>17784</v>
      </c>
      <c r="F4">
        <f>IF(Texte!$A$1=1,VLOOKUP("Dienstleistungen",Export_Matrix,F1,FALSE),VLOOKUP("Services",Export_Matrix,F1,FALSE))</f>
        <v>18831</v>
      </c>
      <c r="G4">
        <f>IF(Texte!$A$1=1,VLOOKUP("Dienstleistungen",Export_Matrix,G1,FALSE),VLOOKUP("Services",Export_Matrix,G1,FALSE))</f>
        <v>19238</v>
      </c>
      <c r="H4">
        <f>IF(Texte!$A$1=1,VLOOKUP("Dienstleistungen",Export_Matrix,H1,FALSE),VLOOKUP("Services",Export_Matrix,H1,FALSE))</f>
        <v>20722</v>
      </c>
      <c r="I4">
        <f>IF(Texte!$A$1=1,VLOOKUP("Dienstleistungen",Export_Matrix,I1,FALSE),VLOOKUP("Services",Export_Matrix,I1,FALSE))</f>
        <v>21739</v>
      </c>
      <c r="J4">
        <f>IF(Texte!$A$1=1,VLOOKUP("Dienstleistungen",Export_Matrix,J1,FALSE),VLOOKUP("Services",Export_Matrix,J1,FALSE))</f>
        <v>24615</v>
      </c>
      <c r="K4">
        <f>IF(Texte!$A$1=1,VLOOKUP("Dienstleistungen",Export_Matrix,K1,FALSE),VLOOKUP("Services",Export_Matrix,K1,FALSE))</f>
        <v>26300</v>
      </c>
      <c r="L4">
        <f>IF(Texte!$A$1=1,VLOOKUP("Dienstleistungen",Export_Matrix,L1,FALSE),VLOOKUP("Services",Export_Matrix,L1,FALSE))</f>
        <v>27517</v>
      </c>
      <c r="M4">
        <f>IF(Texte!$A$1=1,VLOOKUP("Dienstleistungen",Export_Matrix,M1,FALSE),VLOOKUP("Services",Export_Matrix,M1,FALSE))</f>
        <v>28617</v>
      </c>
      <c r="N4">
        <f>IF(Texte!$A$1=1,VLOOKUP("Dienstleistungen",Export_Matrix,N1,FALSE),VLOOKUP("Services",Export_Matrix,N1,FALSE))</f>
        <v>30270</v>
      </c>
      <c r="O4">
        <f>IF(Texte!$A$1=1,VLOOKUP("Dienstleistungen",Export_Matrix,O1,FALSE),VLOOKUP("Services",Export_Matrix,O1,FALSE))</f>
        <v>33233</v>
      </c>
      <c r="P4">
        <f>IF(Texte!$A$1=1,VLOOKUP("Dienstleistungen",Export_Matrix,P1,FALSE),VLOOKUP("Services",Export_Matrix,P1,FALSE))</f>
        <v>36357</v>
      </c>
      <c r="Q4">
        <f>IF(Texte!$A$1=1,VLOOKUP("Dienstleistungen",Export_Matrix,Q1,FALSE),VLOOKUP("Services",Export_Matrix,Q1,FALSE))</f>
        <v>39758</v>
      </c>
      <c r="R4">
        <f>IF(Texte!$A$1=1,VLOOKUP("Dienstleistungen",Export_Matrix,R1,FALSE),VLOOKUP("Services",Export_Matrix,R1,FALSE))</f>
        <v>42977</v>
      </c>
      <c r="S4">
        <f>IF(Texte!$A$1=1,VLOOKUP("Dienstleistungen",Export_Matrix,S1,FALSE),VLOOKUP("Services",Export_Matrix,S1,FALSE))</f>
        <v>38825</v>
      </c>
      <c r="T4">
        <f>IF(Texte!$A$1=1,VLOOKUP("Dienstleistungen",Export_Matrix,T1,FALSE),VLOOKUP("Services",Export_Matrix,T1,FALSE))</f>
        <v>39664</v>
      </c>
      <c r="U4">
        <f>IF(Texte!$A$1=1,VLOOKUP("Dienstleistungen",Export_Matrix,U1,FALSE),VLOOKUP("Services",Export_Matrix,U1,FALSE))</f>
        <v>42611</v>
      </c>
      <c r="V4">
        <f>IF(Texte!$A$1=1,VLOOKUP("Dienstleistungen",Export_Matrix,V1,FALSE),VLOOKUP("Services",Export_Matrix,V1,FALSE))</f>
        <v>45053</v>
      </c>
      <c r="W4">
        <f>IF(Texte!$A$1=1,VLOOKUP("Dienstleistungen",Export_Matrix,W1,FALSE),VLOOKUP("Services",Export_Matrix,W1,FALSE))</f>
        <v>49176</v>
      </c>
      <c r="X4">
        <f>IF(Texte!$A$1=1,VLOOKUP("Dienstleistungen",Export_Matrix,X1,FALSE),VLOOKUP("Services",Export_Matrix,X1,FALSE))</f>
        <v>51687</v>
      </c>
      <c r="Y4">
        <f>IF(Texte!$A$1=1,VLOOKUP("Dienstleistungen",Export_Matrix,Y1,FALSE),VLOOKUP("Services",Export_Matrix,Y1,FALSE))</f>
        <v>53216</v>
      </c>
      <c r="Z4">
        <f>IF(Texte!$A$1=1,VLOOKUP("Dienstleistungen",Export_Matrix,Z1,FALSE),VLOOKUP("Services",Export_Matrix,Z1,FALSE))</f>
        <v>55554</v>
      </c>
      <c r="AA4">
        <f>IF(Texte!$A$1=1,VLOOKUP("Dienstleistungen",Export_Matrix,AA1,FALSE),VLOOKUP("Services",Export_Matrix,AA1,FALSE))</f>
        <v>59405</v>
      </c>
      <c r="AB4">
        <f>IF(Texte!$A$1=1,VLOOKUP("Dienstleistungen",Export_Matrix,AB1,FALSE),VLOOKUP("Services",Export_Matrix,AB1,FALSE))</f>
        <v>64239</v>
      </c>
      <c r="AC4">
        <f>IF(Texte!$A$1=1,VLOOKUP("Dienstleistungen",Export_Matrix,AC1,FALSE),VLOOKUP("Services",Export_Matrix,AC1,FALSE))</f>
        <v>68461</v>
      </c>
      <c r="AD4">
        <f>IF(Texte!$A$1=1,VLOOKUP("Dienstleistungen",Export_Matrix,AD1,FALSE),VLOOKUP("Services",Export_Matrix,AD1,FALSE))</f>
        <v>56948</v>
      </c>
      <c r="AE4">
        <f>IF(Texte!$A$1=1,VLOOKUP("Dienstleistungen",Export_Matrix,AE1,FALSE),VLOOKUP("Services",Export_Matrix,AE1,FALSE))</f>
        <v>60166</v>
      </c>
      <c r="AF4">
        <f>IF(Texte!$A$1=1,VLOOKUP("Dienstleistungen",Export_Matrix,AF1,FALSE),VLOOKUP("Services",Export_Matrix,AF1,FALSE))</f>
        <v>78527</v>
      </c>
      <c r="AG4">
        <f>IF(Texte!$A$1=1,VLOOKUP("Dienstleistungen",Export_Matrix,AG1,FALSE),VLOOKUP("Services",Export_Matrix,AG1,FALSE))</f>
        <v>83328</v>
      </c>
      <c r="AH4">
        <f>IF(Texte!$A$1=1,VLOOKUP("Dienstleistungen",Export_Matrix,AH1,FALSE),VLOOKUP("Services",Export_Matrix,AH1,FALSE))</f>
        <v>89288</v>
      </c>
      <c r="AI4">
        <f>IF(Texte!$A$1=1,VLOOKUP("Dienstleistungen",Export_Matrix,AI1,FALSE),VLOOKUP("Services",Export_Matrix,AI1,FALSE))</f>
        <v>93443</v>
      </c>
    </row>
    <row r="6" spans="1:35" x14ac:dyDescent="0.25">
      <c r="B6" t="str">
        <f>B3</f>
        <v>Privatreisen</v>
      </c>
      <c r="E6" s="8">
        <f>E3</f>
        <v>8337</v>
      </c>
      <c r="F6" s="8">
        <f t="shared" ref="F6:X6" si="7">F3</f>
        <v>8286</v>
      </c>
      <c r="G6" s="8">
        <f t="shared" si="7"/>
        <v>8156</v>
      </c>
      <c r="H6" s="8">
        <f t="shared" si="7"/>
        <v>8068</v>
      </c>
      <c r="I6" s="8">
        <f t="shared" si="7"/>
        <v>8463</v>
      </c>
      <c r="J6" s="8">
        <f t="shared" si="7"/>
        <v>8875</v>
      </c>
      <c r="K6" s="8">
        <f t="shared" si="7"/>
        <v>9290</v>
      </c>
      <c r="L6" s="8">
        <f t="shared" si="7"/>
        <v>9752</v>
      </c>
      <c r="M6" s="8">
        <f t="shared" si="7"/>
        <v>10051</v>
      </c>
      <c r="N6" s="8">
        <f t="shared" si="7"/>
        <v>10213</v>
      </c>
      <c r="O6" s="8">
        <f t="shared" si="7"/>
        <v>10590</v>
      </c>
      <c r="P6" s="8">
        <f t="shared" si="7"/>
        <v>10822</v>
      </c>
      <c r="Q6" s="8">
        <f t="shared" si="7"/>
        <v>11003</v>
      </c>
      <c r="R6" s="8">
        <f t="shared" si="7"/>
        <v>12107</v>
      </c>
      <c r="S6" s="8">
        <f t="shared" si="7"/>
        <v>11727</v>
      </c>
      <c r="T6" s="8">
        <f t="shared" si="7"/>
        <v>11875</v>
      </c>
      <c r="U6" s="8">
        <f t="shared" si="7"/>
        <v>12147</v>
      </c>
      <c r="V6" s="8">
        <f t="shared" si="7"/>
        <v>12508</v>
      </c>
      <c r="W6" s="8">
        <f t="shared" si="7"/>
        <v>12939</v>
      </c>
      <c r="X6" s="8">
        <f t="shared" si="7"/>
        <v>13371</v>
      </c>
      <c r="Y6" s="8">
        <f t="shared" ref="Y6:Z6" si="8">Y3</f>
        <v>14139</v>
      </c>
      <c r="Z6" s="8">
        <f t="shared" si="8"/>
        <v>14967</v>
      </c>
      <c r="AA6" s="8">
        <f t="shared" ref="AA6:AB6" si="9">AA3</f>
        <v>15672</v>
      </c>
      <c r="AB6" s="8">
        <f t="shared" si="9"/>
        <v>16868</v>
      </c>
      <c r="AC6" s="8">
        <f t="shared" ref="AC6:AD6" si="10">AC3</f>
        <v>17554</v>
      </c>
      <c r="AD6" s="8">
        <f t="shared" si="10"/>
        <v>10292</v>
      </c>
      <c r="AE6" s="8">
        <f t="shared" ref="AE6:AF6" si="11">AE3</f>
        <v>7077</v>
      </c>
      <c r="AF6" s="8">
        <f t="shared" si="11"/>
        <v>16208</v>
      </c>
      <c r="AG6" s="8">
        <f t="shared" ref="AG6:AH6" si="12">AG3</f>
        <v>19570</v>
      </c>
      <c r="AH6" s="8">
        <f t="shared" si="12"/>
        <v>20804</v>
      </c>
      <c r="AI6" s="8">
        <f t="shared" ref="AI6" si="13">AI3</f>
        <v>22238</v>
      </c>
    </row>
    <row r="7" spans="1:35" x14ac:dyDescent="0.25">
      <c r="A7" t="s">
        <v>46</v>
      </c>
      <c r="B7" t="str">
        <f>Außenhandelspartner</f>
        <v>Privatreisen</v>
      </c>
      <c r="F7" s="1">
        <f t="shared" ref="F7:AI7" si="14">(F6*100/E6)-100</f>
        <v>-0.611730838431086</v>
      </c>
      <c r="G7" s="1">
        <f t="shared" si="14"/>
        <v>-1.5689114168476976</v>
      </c>
      <c r="H7" s="1">
        <f t="shared" si="14"/>
        <v>-1.0789602746444302</v>
      </c>
      <c r="I7" s="1">
        <f t="shared" si="14"/>
        <v>4.8958849776896329</v>
      </c>
      <c r="J7" s="1">
        <f t="shared" si="14"/>
        <v>4.8682500295403486</v>
      </c>
      <c r="K7" s="1">
        <f t="shared" si="14"/>
        <v>4.6760563380281752</v>
      </c>
      <c r="L7" s="1">
        <f t="shared" si="14"/>
        <v>4.9730893433799821</v>
      </c>
      <c r="M7" s="1">
        <f t="shared" si="14"/>
        <v>3.0660377358490507</v>
      </c>
      <c r="N7" s="1">
        <f t="shared" si="14"/>
        <v>1.6117799223957832</v>
      </c>
      <c r="O7" s="1">
        <f t="shared" si="14"/>
        <v>3.6913737393518034</v>
      </c>
      <c r="P7" s="1">
        <f t="shared" si="14"/>
        <v>2.1907459867799872</v>
      </c>
      <c r="Q7" s="1">
        <f t="shared" si="14"/>
        <v>1.6725189428941007</v>
      </c>
      <c r="R7" s="1">
        <f t="shared" si="14"/>
        <v>10.033627192583836</v>
      </c>
      <c r="S7" s="1">
        <f t="shared" si="14"/>
        <v>-3.1386801024200821</v>
      </c>
      <c r="T7" s="1">
        <f t="shared" si="14"/>
        <v>1.2620448537562936</v>
      </c>
      <c r="U7" s="1">
        <f t="shared" si="14"/>
        <v>2.290526315789478</v>
      </c>
      <c r="V7" s="1">
        <f t="shared" si="14"/>
        <v>2.971927224829173</v>
      </c>
      <c r="W7" s="1">
        <f t="shared" si="14"/>
        <v>3.4457946913975093</v>
      </c>
      <c r="X7" s="1">
        <f t="shared" si="14"/>
        <v>3.3387433341061836</v>
      </c>
      <c r="Y7" s="1">
        <f t="shared" si="14"/>
        <v>5.7437738389050992</v>
      </c>
      <c r="Z7" s="1">
        <f t="shared" si="14"/>
        <v>5.8561425843411854</v>
      </c>
      <c r="AA7" s="1">
        <f t="shared" si="14"/>
        <v>4.7103627981559413</v>
      </c>
      <c r="AB7" s="1">
        <f t="shared" si="14"/>
        <v>7.6314446145992889</v>
      </c>
      <c r="AC7" s="1">
        <f t="shared" si="14"/>
        <v>4.0668721840170718</v>
      </c>
      <c r="AD7" s="1">
        <f t="shared" si="14"/>
        <v>-41.369488435684175</v>
      </c>
      <c r="AE7" s="1">
        <f t="shared" si="14"/>
        <v>-31.237854644383987</v>
      </c>
      <c r="AF7" s="1">
        <f t="shared" si="14"/>
        <v>129.02359756959163</v>
      </c>
      <c r="AG7" s="1">
        <f t="shared" si="14"/>
        <v>20.742843040473844</v>
      </c>
      <c r="AH7" s="1">
        <f t="shared" si="14"/>
        <v>6.3055697496167653</v>
      </c>
      <c r="AI7" s="1">
        <f t="shared" si="14"/>
        <v>6.8929052105364406</v>
      </c>
    </row>
    <row r="8" spans="1:35" x14ac:dyDescent="0.25">
      <c r="A8" t="str">
        <f>Außenhandelspartner</f>
        <v>Privatreisen</v>
      </c>
      <c r="B8">
        <f>VLOOKUP(Außenhandelspartner,Export_Matrix,VLOOKUP(Basis_Jahr,Export_Basis_Jahr,2,FALSE),FALSE)/Einheit_Wert</f>
        <v>22238</v>
      </c>
      <c r="E8">
        <f>IF($B$8=0,0.01,E3/$B$8*100)</f>
        <v>37.489882183649605</v>
      </c>
      <c r="F8">
        <f t="shared" ref="F8:X8" si="15">IF($B$8=0,0.01,F3/$B$8*100)</f>
        <v>37.260545013040741</v>
      </c>
      <c r="G8">
        <f t="shared" si="15"/>
        <v>36.675960068351472</v>
      </c>
      <c r="H8">
        <f t="shared" si="15"/>
        <v>36.280241028869504</v>
      </c>
      <c r="I8">
        <f t="shared" si="15"/>
        <v>38.056479899271515</v>
      </c>
      <c r="J8">
        <f t="shared" si="15"/>
        <v>39.909164493209822</v>
      </c>
      <c r="K8">
        <f t="shared" si="15"/>
        <v>41.775339508948647</v>
      </c>
      <c r="L8">
        <f t="shared" si="15"/>
        <v>43.852864466228979</v>
      </c>
      <c r="M8">
        <f t="shared" si="15"/>
        <v>45.197409839014298</v>
      </c>
      <c r="N8">
        <f t="shared" si="15"/>
        <v>45.925892616242471</v>
      </c>
      <c r="O8">
        <f t="shared" si="15"/>
        <v>47.621188955841355</v>
      </c>
      <c r="P8">
        <f t="shared" si="15"/>
        <v>48.66444824174836</v>
      </c>
      <c r="Q8">
        <f t="shared" si="15"/>
        <v>49.478370357046501</v>
      </c>
      <c r="R8">
        <f t="shared" si="15"/>
        <v>54.442845579638458</v>
      </c>
      <c r="S8">
        <f t="shared" si="15"/>
        <v>52.734058818239049</v>
      </c>
      <c r="T8">
        <f t="shared" si="15"/>
        <v>53.399586293731446</v>
      </c>
      <c r="U8">
        <f t="shared" si="15"/>
        <v>54.622717870312073</v>
      </c>
      <c r="V8">
        <f t="shared" si="15"/>
        <v>56.246065293641514</v>
      </c>
      <c r="W8">
        <f t="shared" si="15"/>
        <v>58.184189225649789</v>
      </c>
      <c r="X8">
        <f t="shared" si="15"/>
        <v>60.126809964924902</v>
      </c>
      <c r="Y8">
        <f t="shared" ref="Y8:Z8" si="16">IF($B$8=0,0.01,Y3/$B$8*100)</f>
        <v>63.580357945858445</v>
      </c>
      <c r="Z8">
        <f t="shared" si="16"/>
        <v>67.30371436280241</v>
      </c>
      <c r="AA8">
        <f t="shared" ref="AA8:AB8" si="17">IF($B$8=0,0.01,AA3/$B$8*100)</f>
        <v>70.473963485924997</v>
      </c>
      <c r="AB8">
        <f t="shared" si="17"/>
        <v>75.852144977066288</v>
      </c>
      <c r="AC8">
        <f t="shared" ref="AC8:AD8" si="18">IF($B$8=0,0.01,AC3/$B$8*100)</f>
        <v>78.936954762118887</v>
      </c>
      <c r="AD8">
        <f t="shared" si="18"/>
        <v>46.281140390322875</v>
      </c>
      <c r="AE8">
        <f t="shared" ref="AE8:AF8" si="19">IF($B$8=0,0.01,AE3/$B$8*100)</f>
        <v>31.823905027430527</v>
      </c>
      <c r="AF8">
        <f t="shared" si="19"/>
        <v>72.88425218095152</v>
      </c>
      <c r="AG8">
        <f t="shared" ref="AG8:AH8" si="20">IF($B$8=0,0.01,AG3/$B$8*100)</f>
        <v>88.002518212069432</v>
      </c>
      <c r="AH8">
        <f t="shared" si="20"/>
        <v>93.551578379350659</v>
      </c>
      <c r="AI8">
        <f t="shared" ref="AI8" si="21">IF($B$8=0,0.01,AI3/$B$8*100)</f>
        <v>100</v>
      </c>
    </row>
    <row r="9" spans="1:35" x14ac:dyDescent="0.25">
      <c r="A9" t="str">
        <f>IF(Texte!$A$1=1,"Dienstleistungen ohne " &amp; Außenhandelspartner,"Services without " &amp; Außenhandelspartner)</f>
        <v>Dienstleistungen ohne Privatreisen</v>
      </c>
      <c r="B9">
        <f>IF(Texte!$A$1=1,(VLOOKUP("Dienstleistungen",Export_Matrix,VLOOKUP(Basis_Jahr,Export_Basis_Jahr,2,FALSE),FALSE)-B8)/Einheit_Wert,(VLOOKUP("Services",Export_Matrix,VLOOKUP(Basis_Jahr,Export_Basis_Jahr,2,FALSE),FALSE)-B8)/Einheit_Wert)</f>
        <v>71205</v>
      </c>
      <c r="E9">
        <f>(E4-E3)/$B$9*100</f>
        <v>13.267326732673268</v>
      </c>
      <c r="F9">
        <f t="shared" ref="F9:X9" si="22">(F4-F3)/$B$9*100</f>
        <v>14.809353275753107</v>
      </c>
      <c r="G9">
        <f t="shared" si="22"/>
        <v>15.56351379818833</v>
      </c>
      <c r="H9">
        <f t="shared" si="22"/>
        <v>17.77122393090373</v>
      </c>
      <c r="I9">
        <f t="shared" si="22"/>
        <v>18.644758092830561</v>
      </c>
      <c r="J9">
        <f t="shared" si="22"/>
        <v>22.105189242328489</v>
      </c>
      <c r="K9">
        <f t="shared" si="22"/>
        <v>23.888771855908995</v>
      </c>
      <c r="L9">
        <f t="shared" si="22"/>
        <v>24.949090653746225</v>
      </c>
      <c r="M9">
        <f t="shared" si="22"/>
        <v>26.074011656484796</v>
      </c>
      <c r="N9">
        <f t="shared" si="22"/>
        <v>28.16796573274349</v>
      </c>
      <c r="O9">
        <f t="shared" si="22"/>
        <v>31.799733164805843</v>
      </c>
      <c r="P9">
        <f t="shared" si="22"/>
        <v>35.861245699037994</v>
      </c>
      <c r="Q9">
        <f t="shared" si="22"/>
        <v>40.383400042131875</v>
      </c>
      <c r="R9">
        <f t="shared" si="22"/>
        <v>43.353697071834844</v>
      </c>
      <c r="S9">
        <f t="shared" si="22"/>
        <v>38.056316269924864</v>
      </c>
      <c r="T9">
        <f t="shared" si="22"/>
        <v>39.026753739203706</v>
      </c>
      <c r="U9">
        <f t="shared" si="22"/>
        <v>42.78351239379257</v>
      </c>
      <c r="V9">
        <f t="shared" si="22"/>
        <v>45.706059967698899</v>
      </c>
      <c r="W9">
        <f t="shared" si="22"/>
        <v>50.89108910891089</v>
      </c>
      <c r="X9">
        <f t="shared" si="22"/>
        <v>53.810827891299773</v>
      </c>
      <c r="Y9">
        <f t="shared" ref="Y9:Z9" si="23">(Y4-Y3)/$B$9*100</f>
        <v>54.87957306368935</v>
      </c>
      <c r="Z9">
        <f t="shared" si="23"/>
        <v>57.000210659363802</v>
      </c>
      <c r="AA9">
        <f t="shared" ref="AA9:AB9" si="24">(AA4-AA3)/$B$9*100</f>
        <v>61.418439716312058</v>
      </c>
      <c r="AB9">
        <f t="shared" si="24"/>
        <v>66.527631486552906</v>
      </c>
      <c r="AC9">
        <f t="shared" ref="AC9:AD9" si="25">(AC4-AC3)/$B$9*100</f>
        <v>71.493574889403831</v>
      </c>
      <c r="AD9">
        <f t="shared" si="25"/>
        <v>65.523488519064671</v>
      </c>
      <c r="AE9">
        <f t="shared" ref="AE9:AF9" si="26">(AE4-AE3)/$B$9*100</f>
        <v>74.557966434941363</v>
      </c>
      <c r="AF9">
        <f t="shared" si="26"/>
        <v>87.52053928797136</v>
      </c>
      <c r="AG9">
        <f t="shared" ref="AG9:AH9" si="27">(AG4-AG3)/$B$9*100</f>
        <v>89.541464784776352</v>
      </c>
      <c r="AH9">
        <f t="shared" si="27"/>
        <v>96.178639140509787</v>
      </c>
      <c r="AI9">
        <f t="shared" ref="AI9" si="28">(AI4-AI3)/$B$9*100</f>
        <v>100</v>
      </c>
    </row>
    <row r="11" spans="1:35" x14ac:dyDescent="0.25">
      <c r="A11" t="s">
        <v>38</v>
      </c>
      <c r="B11">
        <v>1</v>
      </c>
      <c r="C11">
        <v>2</v>
      </c>
      <c r="D11">
        <v>3</v>
      </c>
      <c r="E11">
        <v>4</v>
      </c>
      <c r="F11">
        <v>5</v>
      </c>
      <c r="G11">
        <v>6</v>
      </c>
      <c r="H11">
        <v>7</v>
      </c>
      <c r="I11">
        <v>8</v>
      </c>
      <c r="J11">
        <v>9</v>
      </c>
      <c r="K11">
        <v>10</v>
      </c>
      <c r="L11">
        <v>11</v>
      </c>
      <c r="M11">
        <v>12</v>
      </c>
      <c r="N11">
        <v>13</v>
      </c>
      <c r="O11">
        <v>14</v>
      </c>
      <c r="P11">
        <v>15</v>
      </c>
      <c r="Q11">
        <v>16</v>
      </c>
      <c r="R11">
        <v>17</v>
      </c>
      <c r="S11">
        <v>18</v>
      </c>
      <c r="T11">
        <v>19</v>
      </c>
      <c r="U11">
        <v>20</v>
      </c>
      <c r="V11">
        <v>21</v>
      </c>
      <c r="W11">
        <v>22</v>
      </c>
      <c r="X11">
        <v>23</v>
      </c>
      <c r="Y11">
        <v>24</v>
      </c>
      <c r="Z11">
        <v>25</v>
      </c>
      <c r="AA11">
        <v>26</v>
      </c>
      <c r="AB11">
        <v>27</v>
      </c>
      <c r="AC11">
        <v>28</v>
      </c>
      <c r="AD11">
        <v>29</v>
      </c>
      <c r="AE11">
        <v>30</v>
      </c>
      <c r="AF11">
        <v>31</v>
      </c>
      <c r="AG11">
        <v>32</v>
      </c>
      <c r="AH11">
        <v>33</v>
      </c>
      <c r="AI11">
        <v>34</v>
      </c>
    </row>
    <row r="12" spans="1:35" x14ac:dyDescent="0.25">
      <c r="E12">
        <f>VALUE(Tabelle_Abfrage_von_MS_Access_Database7[[#Headers],[1995]])</f>
        <v>1995</v>
      </c>
      <c r="F12">
        <f>VALUE(Tabelle_Abfrage_von_MS_Access_Database7[[#Headers],[1996]])</f>
        <v>1996</v>
      </c>
      <c r="G12">
        <f>VALUE(Tabelle_Abfrage_von_MS_Access_Database7[[#Headers],[1997]])</f>
        <v>1997</v>
      </c>
      <c r="H12">
        <f>VALUE(Tabelle_Abfrage_von_MS_Access_Database7[[#Headers],[1998]])</f>
        <v>1998</v>
      </c>
      <c r="I12">
        <f>VALUE(Tabelle_Abfrage_von_MS_Access_Database7[[#Headers],[1999]])</f>
        <v>1999</v>
      </c>
      <c r="J12">
        <f>VALUE(Tabelle_Abfrage_von_MS_Access_Database7[[#Headers],[2000]])</f>
        <v>2000</v>
      </c>
      <c r="K12">
        <f>VALUE(Tabelle_Abfrage_von_MS_Access_Database7[[#Headers],[2001]])</f>
        <v>2001</v>
      </c>
      <c r="L12">
        <f>VALUE(Tabelle_Abfrage_von_MS_Access_Database7[[#Headers],[2002]])</f>
        <v>2002</v>
      </c>
      <c r="M12">
        <f>VALUE(Tabelle_Abfrage_von_MS_Access_Database7[[#Headers],[2003]])</f>
        <v>2003</v>
      </c>
      <c r="N12">
        <f>VALUE(Tabelle_Abfrage_von_MS_Access_Database7[[#Headers],[2004]])</f>
        <v>2004</v>
      </c>
      <c r="O12">
        <f>VALUE(Tabelle_Abfrage_von_MS_Access_Database7[[#Headers],[2005]])</f>
        <v>2005</v>
      </c>
      <c r="P12">
        <f>VALUE(Tabelle_Abfrage_von_MS_Access_Database7[[#Headers],[2006]])</f>
        <v>2006</v>
      </c>
      <c r="Q12">
        <f>VALUE(Tabelle_Abfrage_von_MS_Access_Database7[[#Headers],[2007]])</f>
        <v>2007</v>
      </c>
      <c r="R12">
        <f>VALUE(Tabelle_Abfrage_von_MS_Access_Database7[[#Headers],[2008]])</f>
        <v>2008</v>
      </c>
      <c r="S12">
        <f>VALUE(Tabelle_Abfrage_von_MS_Access_Database7[[#Headers],[2009]])</f>
        <v>2009</v>
      </c>
      <c r="T12">
        <f>VALUE(Tabelle_Abfrage_von_MS_Access_Database7[[#Headers],[2010]])</f>
        <v>2010</v>
      </c>
      <c r="U12">
        <f>VALUE(Tabelle_Abfrage_von_MS_Access_Database7[[#Headers],[2011]])</f>
        <v>2011</v>
      </c>
      <c r="V12">
        <f>VALUE(Tabelle_Abfrage_von_MS_Access_Database7[[#Headers],[2012]])</f>
        <v>2012</v>
      </c>
      <c r="W12">
        <f>VALUE(Tabelle_Abfrage_von_MS_Access_Database7[[#Headers],[2013]])</f>
        <v>2013</v>
      </c>
      <c r="X12">
        <f>VALUE(Tabelle_Abfrage_von_MS_Access_Database7[[#Headers],[2014]])</f>
        <v>2014</v>
      </c>
      <c r="Y12">
        <f>VALUE(Tabelle_Abfrage_von_MS_Access_Database7[[#Headers],[2015]])</f>
        <v>2015</v>
      </c>
      <c r="Z12">
        <f>VALUE(Tabelle_Abfrage_von_MS_Access_Database7[[#Headers],[2016]])</f>
        <v>2016</v>
      </c>
      <c r="AA12">
        <f>VALUE(Tabelle_Abfrage_von_MS_Access_Database7[[#Headers],[2017]])</f>
        <v>2017</v>
      </c>
      <c r="AB12">
        <f>VALUE(Tabelle_Abfrage_von_MS_Access_Database7[[#Headers],[2018]])</f>
        <v>2018</v>
      </c>
      <c r="AC12">
        <f>VALUE(Tabelle_Abfrage_von_MS_Access_Database7[[#Headers],[2019]])</f>
        <v>2019</v>
      </c>
      <c r="AD12">
        <f>VALUE(Tabelle_Abfrage_von_MS_Access_Database7[[#Headers],[2020]])</f>
        <v>2020</v>
      </c>
      <c r="AE12">
        <f>VALUE(Tabelle_Abfrage_von_MS_Access_Database7[[#Headers],[2021]])</f>
        <v>2021</v>
      </c>
      <c r="AF12">
        <f>VALUE(Tabelle_Abfrage_von_MS_Access_Database7[[#Headers],[2022]])</f>
        <v>2022</v>
      </c>
      <c r="AG12">
        <f>VALUE(Tabelle_Abfrage_von_MS_Access_Database7[[#Headers],[2023]])</f>
        <v>2023</v>
      </c>
      <c r="AH12">
        <f>VALUE(Tabelle_Abfrage_von_MS_Access_Database7[[#Headers],[2024]])</f>
        <v>2024</v>
      </c>
      <c r="AI12">
        <f>VALUE(Tabelle_Abfrage_von_MS_Access_Database7[[#Headers],[2025]])</f>
        <v>2025</v>
      </c>
    </row>
    <row r="14" spans="1:35" x14ac:dyDescent="0.25">
      <c r="B14" s="5" t="str">
        <f>VLOOKUP(Außenhandelspartner,Import_Matrix,B11,FALSE)</f>
        <v>Privatreisen</v>
      </c>
      <c r="C14" s="5" t="str">
        <f>VLOOKUP(Außenhandelspartner,Import_Matrix,C11,FALSE)</f>
        <v>1995</v>
      </c>
      <c r="D14" s="5" t="str">
        <f>VLOOKUP(Außenhandelspartner,Import_Matrix,D11,FALSE)</f>
        <v>9999</v>
      </c>
      <c r="E14" s="5">
        <f t="shared" ref="E14:X14" si="29">VLOOKUP(Außenhandelspartner,Import_Matrix,E11,FALSE)/Einheit_Wert</f>
        <v>4544</v>
      </c>
      <c r="F14" s="5">
        <f t="shared" si="29"/>
        <v>4850</v>
      </c>
      <c r="G14" s="5">
        <f t="shared" si="29"/>
        <v>5088</v>
      </c>
      <c r="H14" s="5">
        <f t="shared" si="29"/>
        <v>4879</v>
      </c>
      <c r="I14" s="5">
        <f t="shared" si="29"/>
        <v>4958</v>
      </c>
      <c r="J14" s="5">
        <f t="shared" si="29"/>
        <v>5263</v>
      </c>
      <c r="K14" s="5">
        <f t="shared" si="29"/>
        <v>5690</v>
      </c>
      <c r="L14" s="5">
        <f t="shared" si="29"/>
        <v>5644</v>
      </c>
      <c r="M14" s="5">
        <f t="shared" si="29"/>
        <v>6011</v>
      </c>
      <c r="N14" s="5">
        <f t="shared" si="29"/>
        <v>5843</v>
      </c>
      <c r="O14" s="5">
        <f t="shared" si="29"/>
        <v>5942</v>
      </c>
      <c r="P14" s="5">
        <f t="shared" si="29"/>
        <v>6077</v>
      </c>
      <c r="Q14" s="5">
        <f t="shared" si="29"/>
        <v>6057</v>
      </c>
      <c r="R14" s="5">
        <f t="shared" si="29"/>
        <v>6128</v>
      </c>
      <c r="S14" s="5">
        <f t="shared" si="29"/>
        <v>6452</v>
      </c>
      <c r="T14" s="5">
        <f t="shared" si="29"/>
        <v>6416</v>
      </c>
      <c r="U14" s="5">
        <f t="shared" si="29"/>
        <v>6177</v>
      </c>
      <c r="V14" s="5">
        <f t="shared" si="29"/>
        <v>6454</v>
      </c>
      <c r="W14" s="5">
        <f t="shared" si="29"/>
        <v>6511</v>
      </c>
      <c r="X14" s="5">
        <f t="shared" si="29"/>
        <v>6872</v>
      </c>
      <c r="Y14" s="5">
        <f t="shared" ref="Y14:Z14" si="30">VLOOKUP(Außenhandelspartner,Import_Matrix,Y11,FALSE)/Einheit_Wert</f>
        <v>6936</v>
      </c>
      <c r="Z14" s="5">
        <f t="shared" si="30"/>
        <v>7329</v>
      </c>
      <c r="AA14" s="5">
        <f t="shared" ref="AA14:AB14" si="31">VLOOKUP(Außenhandelspartner,Import_Matrix,AA11,FALSE)/Einheit_Wert</f>
        <v>7987</v>
      </c>
      <c r="AB14" s="5">
        <f t="shared" si="31"/>
        <v>8591</v>
      </c>
      <c r="AC14" s="5">
        <f t="shared" ref="AC14:AD14" si="32">VLOOKUP(Außenhandelspartner,Import_Matrix,AC11,FALSE)/Einheit_Wert</f>
        <v>8780</v>
      </c>
      <c r="AD14" s="5">
        <f t="shared" si="32"/>
        <v>3038</v>
      </c>
      <c r="AE14" s="5">
        <f t="shared" ref="AE14:AF14" si="33">VLOOKUP(Außenhandelspartner,Import_Matrix,AE11,FALSE)/Einheit_Wert</f>
        <v>5249</v>
      </c>
      <c r="AF14" s="5">
        <f t="shared" si="33"/>
        <v>10225</v>
      </c>
      <c r="AG14" s="5">
        <f t="shared" ref="AG14:AH14" si="34">VLOOKUP(Außenhandelspartner,Import_Matrix,AG11,FALSE)/Einheit_Wert</f>
        <v>12082</v>
      </c>
      <c r="AH14" s="5">
        <f t="shared" si="34"/>
        <v>13264</v>
      </c>
      <c r="AI14" s="5">
        <f t="shared" ref="AI14" si="35">VLOOKUP(Außenhandelspartner,Import_Matrix,AI11,FALSE)/Einheit_Wert</f>
        <v>13906</v>
      </c>
    </row>
    <row r="15" spans="1:35" x14ac:dyDescent="0.25">
      <c r="B15" t="str">
        <f>IF(Texte!$A$1=1,VLOOKUP("Dienstleistungen",Import_Matrix,B11,FALSE),VLOOKUP("Services",Import_Matrix,B11,FALSE))</f>
        <v>Dienstleistungen</v>
      </c>
      <c r="C15" t="str">
        <f>IF(Texte!$A$1=1,VLOOKUP("Dienstleistungen",Import_Matrix,C11,FALSE),VLOOKUP("Services",Import_Matrix,C11,FALSE))</f>
        <v>1995</v>
      </c>
      <c r="D15" t="str">
        <f>IF(Texte!$A$1=1,VLOOKUP("Dienstleistungen",Import_Matrix,D11,FALSE),VLOOKUP("Services",Import_Matrix,D11,FALSE))</f>
        <v>9999</v>
      </c>
      <c r="E15">
        <f>IF(Texte!$A$1=1,VLOOKUP("Dienstleistungen",Import_Matrix,E11,FALSE),VLOOKUP("Services",Import_Matrix,E11,FALSE))</f>
        <v>14512</v>
      </c>
      <c r="F15">
        <f>IF(Texte!$A$1=1,VLOOKUP("Dienstleistungen",Import_Matrix,F11,FALSE),VLOOKUP("Services",Import_Matrix,F11,FALSE))</f>
        <v>15797</v>
      </c>
      <c r="G15">
        <f>IF(Texte!$A$1=1,VLOOKUP("Dienstleistungen",Import_Matrix,G11,FALSE),VLOOKUP("Services",Import_Matrix,G11,FALSE))</f>
        <v>16440</v>
      </c>
      <c r="H15">
        <f>IF(Texte!$A$1=1,VLOOKUP("Dienstleistungen",Import_Matrix,H11,FALSE),VLOOKUP("Services",Import_Matrix,H11,FALSE))</f>
        <v>16907</v>
      </c>
      <c r="I15">
        <f>IF(Texte!$A$1=1,VLOOKUP("Dienstleistungen",Import_Matrix,I11,FALSE),VLOOKUP("Services",Import_Matrix,I11,FALSE))</f>
        <v>16972</v>
      </c>
      <c r="J15">
        <f>IF(Texte!$A$1=1,VLOOKUP("Dienstleistungen",Import_Matrix,J11,FALSE),VLOOKUP("Services",Import_Matrix,J11,FALSE))</f>
        <v>18727</v>
      </c>
      <c r="K15">
        <f>IF(Texte!$A$1=1,VLOOKUP("Dienstleistungen",Import_Matrix,K11,FALSE),VLOOKUP("Services",Import_Matrix,K11,FALSE))</f>
        <v>20564</v>
      </c>
      <c r="L15">
        <f>IF(Texte!$A$1=1,VLOOKUP("Dienstleistungen",Import_Matrix,L11,FALSE),VLOOKUP("Services",Import_Matrix,L11,FALSE))</f>
        <v>21271</v>
      </c>
      <c r="M15">
        <f>IF(Texte!$A$1=1,VLOOKUP("Dienstleistungen",Import_Matrix,M11,FALSE),VLOOKUP("Services",Import_Matrix,M11,FALSE))</f>
        <v>22271</v>
      </c>
      <c r="N15">
        <f>IF(Texte!$A$1=1,VLOOKUP("Dienstleistungen",Import_Matrix,N11,FALSE),VLOOKUP("Services",Import_Matrix,N11,FALSE))</f>
        <v>23535</v>
      </c>
      <c r="O15">
        <f>IF(Texte!$A$1=1,VLOOKUP("Dienstleistungen",Import_Matrix,O11,FALSE),VLOOKUP("Services",Import_Matrix,O11,FALSE))</f>
        <v>25764</v>
      </c>
      <c r="P15">
        <f>IF(Texte!$A$1=1,VLOOKUP("Dienstleistungen",Import_Matrix,P11,FALSE),VLOOKUP("Services",Import_Matrix,P11,FALSE))</f>
        <v>27978</v>
      </c>
      <c r="Q15">
        <f>IF(Texte!$A$1=1,VLOOKUP("Dienstleistungen",Import_Matrix,Q11,FALSE),VLOOKUP("Services",Import_Matrix,Q11,FALSE))</f>
        <v>29871</v>
      </c>
      <c r="R15">
        <f>IF(Texte!$A$1=1,VLOOKUP("Dienstleistungen",Import_Matrix,R11,FALSE),VLOOKUP("Services",Import_Matrix,R11,FALSE))</f>
        <v>30767</v>
      </c>
      <c r="S15">
        <f>IF(Texte!$A$1=1,VLOOKUP("Dienstleistungen",Import_Matrix,S11,FALSE),VLOOKUP("Services",Import_Matrix,S11,FALSE))</f>
        <v>27970</v>
      </c>
      <c r="T15">
        <f>IF(Texte!$A$1=1,VLOOKUP("Dienstleistungen",Import_Matrix,T11,FALSE),VLOOKUP("Services",Import_Matrix,T11,FALSE))</f>
        <v>29319</v>
      </c>
      <c r="U15">
        <f>IF(Texte!$A$1=1,VLOOKUP("Dienstleistungen",Import_Matrix,U11,FALSE),VLOOKUP("Services",Import_Matrix,U11,FALSE))</f>
        <v>31950</v>
      </c>
      <c r="V15">
        <f>IF(Texte!$A$1=1,VLOOKUP("Dienstleistungen",Import_Matrix,V11,FALSE),VLOOKUP("Services",Import_Matrix,V11,FALSE))</f>
        <v>34382</v>
      </c>
      <c r="W15">
        <f>IF(Texte!$A$1=1,VLOOKUP("Dienstleistungen",Import_Matrix,W11,FALSE),VLOOKUP("Services",Import_Matrix,W11,FALSE))</f>
        <v>39076</v>
      </c>
      <c r="X15">
        <f>IF(Texte!$A$1=1,VLOOKUP("Dienstleistungen",Import_Matrix,X11,FALSE),VLOOKUP("Services",Import_Matrix,X11,FALSE))</f>
        <v>41792</v>
      </c>
      <c r="Y15">
        <f>IF(Texte!$A$1=1,VLOOKUP("Dienstleistungen",Import_Matrix,Y11,FALSE),VLOOKUP("Services",Import_Matrix,Y11,FALSE))</f>
        <v>43236</v>
      </c>
      <c r="Z15">
        <f>IF(Texte!$A$1=1,VLOOKUP("Dienstleistungen",Import_Matrix,Z11,FALSE),VLOOKUP("Services",Import_Matrix,Z11,FALSE))</f>
        <v>45182</v>
      </c>
      <c r="AA15">
        <f>IF(Texte!$A$1=1,VLOOKUP("Dienstleistungen",Import_Matrix,AA11,FALSE),VLOOKUP("Services",Import_Matrix,AA11,FALSE))</f>
        <v>49529</v>
      </c>
      <c r="AB15">
        <f>IF(Texte!$A$1=1,VLOOKUP("Dienstleistungen",Import_Matrix,AB11,FALSE),VLOOKUP("Services",Import_Matrix,AB11,FALSE))</f>
        <v>54520</v>
      </c>
      <c r="AC15">
        <f>IF(Texte!$A$1=1,VLOOKUP("Dienstleistungen",Import_Matrix,AC11,FALSE),VLOOKUP("Services",Import_Matrix,AC11,FALSE))</f>
        <v>59061</v>
      </c>
      <c r="AD15">
        <f>IF(Texte!$A$1=1,VLOOKUP("Dienstleistungen",Import_Matrix,AD11,FALSE),VLOOKUP("Services",Import_Matrix,AD11,FALSE))</f>
        <v>49020</v>
      </c>
      <c r="AE15">
        <f>IF(Texte!$A$1=1,VLOOKUP("Dienstleistungen",Import_Matrix,AE11,FALSE),VLOOKUP("Services",Import_Matrix,AE11,FALSE))</f>
        <v>57010</v>
      </c>
      <c r="AF15">
        <f>IF(Texte!$A$1=1,VLOOKUP("Dienstleistungen",Import_Matrix,AF11,FALSE),VLOOKUP("Services",Import_Matrix,AF11,FALSE))</f>
        <v>73021</v>
      </c>
      <c r="AG15">
        <f>IF(Texte!$A$1=1,VLOOKUP("Dienstleistungen",Import_Matrix,AG11,FALSE),VLOOKUP("Services",Import_Matrix,AG11,FALSE))</f>
        <v>78049</v>
      </c>
      <c r="AH15">
        <f>IF(Texte!$A$1=1,VLOOKUP("Dienstleistungen",Import_Matrix,AH11,FALSE),VLOOKUP("Services",Import_Matrix,AH11,FALSE))</f>
        <v>83649</v>
      </c>
      <c r="AI15">
        <f>IF(Texte!$A$1=1,VLOOKUP("Dienstleistungen",Import_Matrix,AI11,FALSE),VLOOKUP("Services",Import_Matrix,AI11,FALSE))</f>
        <v>86755</v>
      </c>
    </row>
    <row r="17" spans="1:35" x14ac:dyDescent="0.25">
      <c r="B17" t="str">
        <f>B14</f>
        <v>Privatreisen</v>
      </c>
      <c r="E17" s="8">
        <f>E14</f>
        <v>4544</v>
      </c>
      <c r="F17" s="8">
        <f t="shared" ref="F17:X17" si="36">F14</f>
        <v>4850</v>
      </c>
      <c r="G17" s="8">
        <f t="shared" si="36"/>
        <v>5088</v>
      </c>
      <c r="H17" s="8">
        <f t="shared" si="36"/>
        <v>4879</v>
      </c>
      <c r="I17" s="8">
        <f t="shared" si="36"/>
        <v>4958</v>
      </c>
      <c r="J17" s="8">
        <f t="shared" si="36"/>
        <v>5263</v>
      </c>
      <c r="K17" s="8">
        <f t="shared" si="36"/>
        <v>5690</v>
      </c>
      <c r="L17" s="8">
        <f t="shared" si="36"/>
        <v>5644</v>
      </c>
      <c r="M17" s="8">
        <f t="shared" si="36"/>
        <v>6011</v>
      </c>
      <c r="N17" s="8">
        <f t="shared" si="36"/>
        <v>5843</v>
      </c>
      <c r="O17" s="8">
        <f t="shared" si="36"/>
        <v>5942</v>
      </c>
      <c r="P17" s="8">
        <f t="shared" si="36"/>
        <v>6077</v>
      </c>
      <c r="Q17" s="8">
        <f t="shared" si="36"/>
        <v>6057</v>
      </c>
      <c r="R17" s="8">
        <f t="shared" si="36"/>
        <v>6128</v>
      </c>
      <c r="S17" s="8">
        <f t="shared" si="36"/>
        <v>6452</v>
      </c>
      <c r="T17" s="8">
        <f t="shared" si="36"/>
        <v>6416</v>
      </c>
      <c r="U17" s="8">
        <f t="shared" si="36"/>
        <v>6177</v>
      </c>
      <c r="V17" s="8">
        <f t="shared" si="36"/>
        <v>6454</v>
      </c>
      <c r="W17" s="8">
        <f t="shared" si="36"/>
        <v>6511</v>
      </c>
      <c r="X17" s="8">
        <f t="shared" si="36"/>
        <v>6872</v>
      </c>
      <c r="Y17" s="8">
        <f t="shared" ref="Y17:Z17" si="37">Y14</f>
        <v>6936</v>
      </c>
      <c r="Z17" s="8">
        <f t="shared" si="37"/>
        <v>7329</v>
      </c>
      <c r="AA17" s="8">
        <f t="shared" ref="AA17:AB17" si="38">AA14</f>
        <v>7987</v>
      </c>
      <c r="AB17" s="8">
        <f t="shared" si="38"/>
        <v>8591</v>
      </c>
      <c r="AC17" s="8">
        <f t="shared" ref="AC17:AD17" si="39">AC14</f>
        <v>8780</v>
      </c>
      <c r="AD17" s="8">
        <f t="shared" si="39"/>
        <v>3038</v>
      </c>
      <c r="AE17" s="8">
        <f t="shared" ref="AE17:AF17" si="40">AE14</f>
        <v>5249</v>
      </c>
      <c r="AF17" s="8">
        <f t="shared" si="40"/>
        <v>10225</v>
      </c>
      <c r="AG17" s="8">
        <f t="shared" ref="AG17:AH17" si="41">AG14</f>
        <v>12082</v>
      </c>
      <c r="AH17" s="8">
        <f t="shared" si="41"/>
        <v>13264</v>
      </c>
      <c r="AI17" s="8">
        <f t="shared" ref="AI17" si="42">AI14</f>
        <v>13906</v>
      </c>
    </row>
    <row r="18" spans="1:35" x14ac:dyDescent="0.25">
      <c r="A18" t="s">
        <v>46</v>
      </c>
      <c r="B18" t="str">
        <f>Außenhandelspartner</f>
        <v>Privatreisen</v>
      </c>
      <c r="F18" s="1">
        <f t="shared" ref="F18:AI18" si="43">(F17*100/E17)-100</f>
        <v>6.7341549295774712</v>
      </c>
      <c r="G18" s="1">
        <f t="shared" si="43"/>
        <v>4.9072164948453576</v>
      </c>
      <c r="H18" s="1">
        <f t="shared" si="43"/>
        <v>-4.1077044025157221</v>
      </c>
      <c r="I18" s="1">
        <f t="shared" si="43"/>
        <v>1.6191842590694847</v>
      </c>
      <c r="J18" s="1">
        <f t="shared" si="43"/>
        <v>6.1516740621218275</v>
      </c>
      <c r="K18" s="1">
        <f t="shared" si="43"/>
        <v>8.1132433973019147</v>
      </c>
      <c r="L18" s="1">
        <f t="shared" si="43"/>
        <v>-0.80843585237258253</v>
      </c>
      <c r="M18" s="1">
        <f t="shared" si="43"/>
        <v>6.5024805102763992</v>
      </c>
      <c r="N18" s="1">
        <f t="shared" si="43"/>
        <v>-2.7948760605556515</v>
      </c>
      <c r="O18" s="1">
        <f t="shared" si="43"/>
        <v>1.6943351018312569</v>
      </c>
      <c r="P18" s="1">
        <f t="shared" si="43"/>
        <v>2.2719623022551332</v>
      </c>
      <c r="Q18" s="1">
        <f t="shared" si="43"/>
        <v>-0.32910975810432319</v>
      </c>
      <c r="R18" s="1">
        <f t="shared" si="43"/>
        <v>1.1721974574872007</v>
      </c>
      <c r="S18" s="1">
        <f t="shared" si="43"/>
        <v>5.2872062663185346</v>
      </c>
      <c r="T18" s="1">
        <f t="shared" si="43"/>
        <v>-0.5579665220086838</v>
      </c>
      <c r="U18" s="1">
        <f t="shared" si="43"/>
        <v>-3.7250623441396442</v>
      </c>
      <c r="V18" s="1">
        <f t="shared" si="43"/>
        <v>4.4843775295450854</v>
      </c>
      <c r="W18" s="1">
        <f t="shared" si="43"/>
        <v>0.88317322590641822</v>
      </c>
      <c r="X18" s="1">
        <f t="shared" si="43"/>
        <v>5.5444632160958349</v>
      </c>
      <c r="Y18" s="1">
        <f t="shared" si="43"/>
        <v>0.93131548311990286</v>
      </c>
      <c r="Z18" s="1">
        <f t="shared" si="43"/>
        <v>5.66608996539793</v>
      </c>
      <c r="AA18" s="1">
        <f t="shared" si="43"/>
        <v>8.9780324737344728</v>
      </c>
      <c r="AB18" s="1">
        <f t="shared" si="43"/>
        <v>7.5622887191686488</v>
      </c>
      <c r="AC18" s="1">
        <f t="shared" si="43"/>
        <v>2.19997671982307</v>
      </c>
      <c r="AD18" s="1">
        <f t="shared" si="43"/>
        <v>-65.398633257403191</v>
      </c>
      <c r="AE18" s="1">
        <f t="shared" si="43"/>
        <v>72.778143515470703</v>
      </c>
      <c r="AF18" s="1">
        <f t="shared" si="43"/>
        <v>94.799009335111464</v>
      </c>
      <c r="AG18" s="1">
        <f t="shared" si="43"/>
        <v>18.16136919315403</v>
      </c>
      <c r="AH18" s="1">
        <f t="shared" si="43"/>
        <v>9.7831484853501109</v>
      </c>
      <c r="AI18" s="1">
        <f t="shared" si="43"/>
        <v>4.840168878166466</v>
      </c>
    </row>
    <row r="19" spans="1:35" x14ac:dyDescent="0.25">
      <c r="A19" t="str">
        <f>Außenhandelspartner</f>
        <v>Privatreisen</v>
      </c>
      <c r="B19">
        <f>VLOOKUP(Außenhandelspartner,Import_Matrix,VLOOKUP(Basis_Jahr,Import_Basis_Jahr,2,FALSE),FALSE)/Einheit_Wert</f>
        <v>13906</v>
      </c>
      <c r="E19">
        <f>IF($B$19=0,0.01,E14/$B$19*100)</f>
        <v>32.676542499640441</v>
      </c>
      <c r="F19">
        <f t="shared" ref="F19:X19" si="44">IF($B$19=0,0.01,F14/$B$19*100)</f>
        <v>34.877031497195453</v>
      </c>
      <c r="G19">
        <f t="shared" si="44"/>
        <v>36.58852293973824</v>
      </c>
      <c r="H19">
        <f t="shared" si="44"/>
        <v>35.085574572127136</v>
      </c>
      <c r="I19">
        <f t="shared" si="44"/>
        <v>35.653674672803106</v>
      </c>
      <c r="J19">
        <f t="shared" si="44"/>
        <v>37.846972529843228</v>
      </c>
      <c r="K19">
        <f t="shared" si="44"/>
        <v>40.917589529699413</v>
      </c>
      <c r="L19">
        <f t="shared" si="44"/>
        <v>40.586797066014668</v>
      </c>
      <c r="M19">
        <f t="shared" si="44"/>
        <v>43.225945634977705</v>
      </c>
      <c r="N19">
        <f t="shared" si="44"/>
        <v>42.017834028476919</v>
      </c>
      <c r="O19">
        <f t="shared" si="44"/>
        <v>42.729756939450596</v>
      </c>
      <c r="P19">
        <f t="shared" si="44"/>
        <v>43.700560908960163</v>
      </c>
      <c r="Q19">
        <f t="shared" si="44"/>
        <v>43.556738098662443</v>
      </c>
      <c r="R19">
        <f t="shared" si="44"/>
        <v>44.067309075219327</v>
      </c>
      <c r="S19">
        <f t="shared" si="44"/>
        <v>46.397238602042286</v>
      </c>
      <c r="T19">
        <f t="shared" si="44"/>
        <v>46.138357543506395</v>
      </c>
      <c r="U19">
        <f t="shared" si="44"/>
        <v>44.419674960448731</v>
      </c>
      <c r="V19">
        <f t="shared" si="44"/>
        <v>46.411620883072061</v>
      </c>
      <c r="W19">
        <f t="shared" si="44"/>
        <v>46.821515892420543</v>
      </c>
      <c r="X19">
        <f t="shared" si="44"/>
        <v>49.417517618294262</v>
      </c>
      <c r="Y19">
        <f t="shared" ref="Y19:Z19" si="45">IF($B$19=0,0.01,Y14/$B$19*100)</f>
        <v>49.877750611246945</v>
      </c>
      <c r="Z19">
        <f t="shared" si="45"/>
        <v>52.703868833597014</v>
      </c>
      <c r="AA19">
        <f t="shared" ref="AA19:AB19" si="46">IF($B$19=0,0.01,AA14/$B$19*100)</f>
        <v>57.43563929239177</v>
      </c>
      <c r="AB19">
        <f t="shared" si="46"/>
        <v>61.77908816338271</v>
      </c>
      <c r="AC19">
        <f t="shared" ref="AC19:AD19" si="47">IF($B$19=0,0.01,AC14/$B$19*100)</f>
        <v>63.1382137206961</v>
      </c>
      <c r="AD19">
        <f t="shared" si="47"/>
        <v>21.846684884222636</v>
      </c>
      <c r="AE19">
        <f t="shared" ref="AE19:AF19" si="48">IF($B$19=0,0.01,AE14/$B$19*100)</f>
        <v>37.746296562634832</v>
      </c>
      <c r="AF19">
        <f t="shared" si="48"/>
        <v>73.529411764705884</v>
      </c>
      <c r="AG19">
        <f t="shared" ref="AG19:AH19" si="49">IF($B$19=0,0.01,AG14/$B$19*100)</f>
        <v>86.883359700848544</v>
      </c>
      <c r="AH19">
        <f t="shared" si="49"/>
        <v>95.383287789443401</v>
      </c>
      <c r="AI19">
        <f t="shared" ref="AI19" si="50">IF($B$19=0,0.01,AI14/$B$19*100)</f>
        <v>100</v>
      </c>
    </row>
    <row r="20" spans="1:35" x14ac:dyDescent="0.25">
      <c r="A20" t="str">
        <f>IF(Texte!$A$1=1,"Dienstleistungen ohne " &amp; Außenhandelspartner,"Services without " &amp; Außenhandelspartner)</f>
        <v>Dienstleistungen ohne Privatreisen</v>
      </c>
      <c r="B20">
        <f>IF(Texte!$A$1=1,(VLOOKUP("Dienstleistungen",Import_Matrix,VLOOKUP(Basis_Jahr,Import_Basis_Jahr,2,FALSE),FALSE)-B19)/Einheit_Wert,(VLOOKUP("Services",Import_Matrix,VLOOKUP(Basis_Jahr,Import_Basis_Jahr,2,FALSE),FALSE)-B19)/Einheit_Wert)</f>
        <v>72849</v>
      </c>
      <c r="E20">
        <f t="shared" ref="E20:X20" si="51">(E15-E14)/$B$20*100</f>
        <v>13.683097914864994</v>
      </c>
      <c r="F20">
        <f t="shared" si="51"/>
        <v>15.026973602932092</v>
      </c>
      <c r="G20">
        <f t="shared" si="51"/>
        <v>15.582918090845446</v>
      </c>
      <c r="H20">
        <f t="shared" si="51"/>
        <v>16.510864939807</v>
      </c>
      <c r="I20">
        <f t="shared" si="51"/>
        <v>16.491647105656906</v>
      </c>
      <c r="J20">
        <f t="shared" si="51"/>
        <v>18.482065642630648</v>
      </c>
      <c r="K20">
        <f t="shared" si="51"/>
        <v>20.417576082032699</v>
      </c>
      <c r="L20">
        <f t="shared" si="51"/>
        <v>21.451221018819748</v>
      </c>
      <c r="M20">
        <f t="shared" si="51"/>
        <v>22.320141662891736</v>
      </c>
      <c r="N20">
        <f t="shared" si="51"/>
        <v>24.285851555958217</v>
      </c>
      <c r="O20">
        <f t="shared" si="51"/>
        <v>27.209707751650676</v>
      </c>
      <c r="P20">
        <f t="shared" si="51"/>
        <v>30.063556122939229</v>
      </c>
      <c r="Q20">
        <f t="shared" si="51"/>
        <v>32.689535889305276</v>
      </c>
      <c r="R20">
        <f t="shared" si="51"/>
        <v>33.822015401721366</v>
      </c>
      <c r="S20">
        <f t="shared" si="51"/>
        <v>29.537811088690301</v>
      </c>
      <c r="T20">
        <f t="shared" si="51"/>
        <v>31.43900396711005</v>
      </c>
      <c r="U20">
        <f t="shared" si="51"/>
        <v>35.378659967878761</v>
      </c>
      <c r="V20">
        <f t="shared" si="51"/>
        <v>38.336833724553529</v>
      </c>
      <c r="W20">
        <f t="shared" si="51"/>
        <v>44.702054935551622</v>
      </c>
      <c r="X20">
        <f t="shared" si="51"/>
        <v>47.934769180084835</v>
      </c>
      <c r="Y20">
        <f t="shared" ref="Y20:Z20" si="52">(Y15-Y14)/$B$20*100</f>
        <v>49.829098546308117</v>
      </c>
      <c r="Z20">
        <f t="shared" si="52"/>
        <v>51.960905434528961</v>
      </c>
      <c r="AA20">
        <f t="shared" ref="AA20:AB20" si="53">(AA15-AA14)/$B$20*100</f>
        <v>57.024804733078014</v>
      </c>
      <c r="AB20">
        <f t="shared" si="53"/>
        <v>63.046850334253044</v>
      </c>
      <c r="AC20">
        <f t="shared" ref="AC20:AD20" si="54">(AC15-AC14)/$B$20*100</f>
        <v>69.020851350052851</v>
      </c>
      <c r="AD20">
        <f t="shared" si="54"/>
        <v>63.119603563535534</v>
      </c>
      <c r="AE20">
        <f t="shared" ref="AE20:AF20" si="55">(AE15-AE14)/$B$20*100</f>
        <v>71.052450960205363</v>
      </c>
      <c r="AF20">
        <f t="shared" si="55"/>
        <v>86.200222377795171</v>
      </c>
      <c r="AG20">
        <f t="shared" ref="AG20:AH20" si="56">(AG15-AG14)/$B$20*100</f>
        <v>90.55306181279083</v>
      </c>
      <c r="AH20">
        <f t="shared" si="56"/>
        <v>96.617661189583941</v>
      </c>
      <c r="AI20">
        <f t="shared" ref="AI20" si="57">(AI15-AI14)/$B$20*100</f>
        <v>100</v>
      </c>
    </row>
    <row r="22" spans="1:35" x14ac:dyDescent="0.25">
      <c r="A22" t="s">
        <v>62</v>
      </c>
    </row>
    <row r="23" spans="1:35" x14ac:dyDescent="0.25">
      <c r="A23" s="13">
        <v>2025</v>
      </c>
      <c r="B23" s="13" t="s">
        <v>113</v>
      </c>
      <c r="C23" s="13"/>
    </row>
    <row r="24" spans="1:35" x14ac:dyDescent="0.25">
      <c r="A24" t="s">
        <v>47</v>
      </c>
      <c r="F24" t="s">
        <v>48</v>
      </c>
    </row>
    <row r="25" spans="1:35" x14ac:dyDescent="0.25">
      <c r="A25">
        <v>1</v>
      </c>
      <c r="C25">
        <f>A25</f>
        <v>1</v>
      </c>
      <c r="F25">
        <v>1</v>
      </c>
      <c r="H25">
        <f>F25</f>
        <v>1</v>
      </c>
    </row>
    <row r="26" spans="1:35" x14ac:dyDescent="0.25">
      <c r="A26">
        <v>2</v>
      </c>
      <c r="B26" t="s">
        <v>53</v>
      </c>
      <c r="F26">
        <v>2</v>
      </c>
      <c r="G26" t="s">
        <v>53</v>
      </c>
    </row>
    <row r="27" spans="1:35" x14ac:dyDescent="0.25">
      <c r="A27">
        <v>3</v>
      </c>
      <c r="B27" t="s">
        <v>54</v>
      </c>
      <c r="F27">
        <v>3</v>
      </c>
      <c r="G27" t="s">
        <v>54</v>
      </c>
    </row>
    <row r="28" spans="1:35" x14ac:dyDescent="0.25">
      <c r="A28">
        <v>4</v>
      </c>
      <c r="B28">
        <f>VALUE(Tabelle_Abfrage_von_MS_Access_Database[[#Headers],[1995]])</f>
        <v>1995</v>
      </c>
      <c r="C28">
        <f t="shared" ref="C28:C47" si="58">A28</f>
        <v>4</v>
      </c>
      <c r="F28">
        <v>4</v>
      </c>
      <c r="G28">
        <f>VALUE(Tabelle_Abfrage_von_MS_Access_Database7[[#Headers],[1995]])</f>
        <v>1995</v>
      </c>
      <c r="H28">
        <f t="shared" ref="H28:H47" si="59">F28</f>
        <v>4</v>
      </c>
    </row>
    <row r="29" spans="1:35" x14ac:dyDescent="0.25">
      <c r="A29">
        <v>5</v>
      </c>
      <c r="B29">
        <f>VALUE(Tabelle_Abfrage_von_MS_Access_Database[[#Headers],[1996]])</f>
        <v>1996</v>
      </c>
      <c r="C29">
        <f t="shared" si="58"/>
        <v>5</v>
      </c>
      <c r="F29">
        <v>5</v>
      </c>
      <c r="G29">
        <f>VALUE(Tabelle_Abfrage_von_MS_Access_Database7[[#Headers],[1996]])</f>
        <v>1996</v>
      </c>
      <c r="H29">
        <f t="shared" si="59"/>
        <v>5</v>
      </c>
    </row>
    <row r="30" spans="1:35" x14ac:dyDescent="0.25">
      <c r="A30">
        <v>6</v>
      </c>
      <c r="B30">
        <f>VALUE(Tabelle_Abfrage_von_MS_Access_Database[[#Headers],[1997]])</f>
        <v>1997</v>
      </c>
      <c r="C30">
        <f t="shared" si="58"/>
        <v>6</v>
      </c>
      <c r="F30">
        <v>6</v>
      </c>
      <c r="G30">
        <f>VALUE(Tabelle_Abfrage_von_MS_Access_Database7[[#Headers],[1997]])</f>
        <v>1997</v>
      </c>
      <c r="H30">
        <f t="shared" si="59"/>
        <v>6</v>
      </c>
    </row>
    <row r="31" spans="1:35" x14ac:dyDescent="0.25">
      <c r="A31">
        <v>7</v>
      </c>
      <c r="B31">
        <f>VALUE(Tabelle_Abfrage_von_MS_Access_Database[[#Headers],[1998]])</f>
        <v>1998</v>
      </c>
      <c r="C31">
        <f t="shared" si="58"/>
        <v>7</v>
      </c>
      <c r="F31">
        <v>7</v>
      </c>
      <c r="G31">
        <f>VALUE(Tabelle_Abfrage_von_MS_Access_Database7[[#Headers],[1998]])</f>
        <v>1998</v>
      </c>
      <c r="H31">
        <f t="shared" si="59"/>
        <v>7</v>
      </c>
    </row>
    <row r="32" spans="1:35" x14ac:dyDescent="0.25">
      <c r="A32">
        <v>8</v>
      </c>
      <c r="B32">
        <f>VALUE(Tabelle_Abfrage_von_MS_Access_Database[[#Headers],[1999]])</f>
        <v>1999</v>
      </c>
      <c r="C32">
        <f t="shared" si="58"/>
        <v>8</v>
      </c>
      <c r="F32">
        <v>8</v>
      </c>
      <c r="G32">
        <f>VALUE(Tabelle_Abfrage_von_MS_Access_Database7[[#Headers],[1999]])</f>
        <v>1999</v>
      </c>
      <c r="H32">
        <f t="shared" si="59"/>
        <v>8</v>
      </c>
    </row>
    <row r="33" spans="1:8" x14ac:dyDescent="0.25">
      <c r="A33">
        <v>9</v>
      </c>
      <c r="B33">
        <f>VALUE(Tabelle_Abfrage_von_MS_Access_Database[[#Headers],[2000]])</f>
        <v>2000</v>
      </c>
      <c r="C33">
        <f t="shared" si="58"/>
        <v>9</v>
      </c>
      <c r="F33">
        <v>9</v>
      </c>
      <c r="G33">
        <f>VALUE(Tabelle_Abfrage_von_MS_Access_Database7[[#Headers],[2000]])</f>
        <v>2000</v>
      </c>
      <c r="H33">
        <f t="shared" si="59"/>
        <v>9</v>
      </c>
    </row>
    <row r="34" spans="1:8" x14ac:dyDescent="0.25">
      <c r="A34">
        <v>10</v>
      </c>
      <c r="B34">
        <f>VALUE(Tabelle_Abfrage_von_MS_Access_Database[[#Headers],[2001]])</f>
        <v>2001</v>
      </c>
      <c r="C34">
        <f t="shared" si="58"/>
        <v>10</v>
      </c>
      <c r="F34">
        <v>10</v>
      </c>
      <c r="G34">
        <f>VALUE(Tabelle_Abfrage_von_MS_Access_Database7[[#Headers],[2001]])</f>
        <v>2001</v>
      </c>
      <c r="H34">
        <f t="shared" si="59"/>
        <v>10</v>
      </c>
    </row>
    <row r="35" spans="1:8" x14ac:dyDescent="0.25">
      <c r="A35">
        <v>11</v>
      </c>
      <c r="B35">
        <f>VALUE(Tabelle_Abfrage_von_MS_Access_Database[[#Headers],[2002]])</f>
        <v>2002</v>
      </c>
      <c r="C35">
        <f t="shared" si="58"/>
        <v>11</v>
      </c>
      <c r="F35">
        <v>11</v>
      </c>
      <c r="G35">
        <f>VALUE(Tabelle_Abfrage_von_MS_Access_Database7[[#Headers],[2002]])</f>
        <v>2002</v>
      </c>
      <c r="H35">
        <f t="shared" si="59"/>
        <v>11</v>
      </c>
    </row>
    <row r="36" spans="1:8" x14ac:dyDescent="0.25">
      <c r="A36">
        <v>12</v>
      </c>
      <c r="B36">
        <f>VALUE(Tabelle_Abfrage_von_MS_Access_Database[[#Headers],[2003]])</f>
        <v>2003</v>
      </c>
      <c r="C36">
        <f t="shared" si="58"/>
        <v>12</v>
      </c>
      <c r="F36">
        <v>12</v>
      </c>
      <c r="G36">
        <f>VALUE(Tabelle_Abfrage_von_MS_Access_Database7[[#Headers],[2003]])</f>
        <v>2003</v>
      </c>
      <c r="H36">
        <f t="shared" si="59"/>
        <v>12</v>
      </c>
    </row>
    <row r="37" spans="1:8" x14ac:dyDescent="0.25">
      <c r="A37">
        <v>13</v>
      </c>
      <c r="B37">
        <f>VALUE(Tabelle_Abfrage_von_MS_Access_Database[[#Headers],[2004]])</f>
        <v>2004</v>
      </c>
      <c r="C37">
        <f t="shared" si="58"/>
        <v>13</v>
      </c>
      <c r="F37">
        <v>13</v>
      </c>
      <c r="G37">
        <f>VALUE(Tabelle_Abfrage_von_MS_Access_Database7[[#Headers],[2004]])</f>
        <v>2004</v>
      </c>
      <c r="H37">
        <f t="shared" si="59"/>
        <v>13</v>
      </c>
    </row>
    <row r="38" spans="1:8" x14ac:dyDescent="0.25">
      <c r="A38">
        <v>14</v>
      </c>
      <c r="B38">
        <f>VALUE(Tabelle_Abfrage_von_MS_Access_Database[[#Headers],[2005]])</f>
        <v>2005</v>
      </c>
      <c r="C38">
        <f t="shared" si="58"/>
        <v>14</v>
      </c>
      <c r="F38">
        <v>14</v>
      </c>
      <c r="G38">
        <f>VALUE(Tabelle_Abfrage_von_MS_Access_Database7[[#Headers],[2005]])</f>
        <v>2005</v>
      </c>
      <c r="H38">
        <f t="shared" si="59"/>
        <v>14</v>
      </c>
    </row>
    <row r="39" spans="1:8" x14ac:dyDescent="0.25">
      <c r="A39">
        <v>15</v>
      </c>
      <c r="B39">
        <f>VALUE(Tabelle_Abfrage_von_MS_Access_Database[[#Headers],[2006]])</f>
        <v>2006</v>
      </c>
      <c r="C39">
        <f t="shared" si="58"/>
        <v>15</v>
      </c>
      <c r="F39">
        <v>15</v>
      </c>
      <c r="G39">
        <f>VALUE(Tabelle_Abfrage_von_MS_Access_Database7[[#Headers],[2006]])</f>
        <v>2006</v>
      </c>
      <c r="H39">
        <f t="shared" si="59"/>
        <v>15</v>
      </c>
    </row>
    <row r="40" spans="1:8" x14ac:dyDescent="0.25">
      <c r="A40">
        <v>16</v>
      </c>
      <c r="B40">
        <f>VALUE(Tabelle_Abfrage_von_MS_Access_Database[[#Headers],[2007]])</f>
        <v>2007</v>
      </c>
      <c r="C40">
        <f t="shared" si="58"/>
        <v>16</v>
      </c>
      <c r="F40">
        <v>16</v>
      </c>
      <c r="G40">
        <f>VALUE(Tabelle_Abfrage_von_MS_Access_Database7[[#Headers],[2007]])</f>
        <v>2007</v>
      </c>
      <c r="H40">
        <f t="shared" si="59"/>
        <v>16</v>
      </c>
    </row>
    <row r="41" spans="1:8" x14ac:dyDescent="0.25">
      <c r="A41">
        <v>17</v>
      </c>
      <c r="B41">
        <f>VALUE(Tabelle_Abfrage_von_MS_Access_Database[[#Headers],[2008]])</f>
        <v>2008</v>
      </c>
      <c r="C41">
        <f t="shared" si="58"/>
        <v>17</v>
      </c>
      <c r="F41">
        <v>17</v>
      </c>
      <c r="G41">
        <f>VALUE(Tabelle_Abfrage_von_MS_Access_Database7[[#Headers],[2008]])</f>
        <v>2008</v>
      </c>
      <c r="H41">
        <f t="shared" si="59"/>
        <v>17</v>
      </c>
    </row>
    <row r="42" spans="1:8" x14ac:dyDescent="0.25">
      <c r="A42">
        <v>18</v>
      </c>
      <c r="B42">
        <f>VALUE(Tabelle_Abfrage_von_MS_Access_Database[[#Headers],[2009]])</f>
        <v>2009</v>
      </c>
      <c r="C42">
        <f t="shared" si="58"/>
        <v>18</v>
      </c>
      <c r="F42">
        <v>18</v>
      </c>
      <c r="G42">
        <f>VALUE(Tabelle_Abfrage_von_MS_Access_Database7[[#Headers],[2009]])</f>
        <v>2009</v>
      </c>
      <c r="H42">
        <f t="shared" si="59"/>
        <v>18</v>
      </c>
    </row>
    <row r="43" spans="1:8" x14ac:dyDescent="0.25">
      <c r="A43">
        <v>19</v>
      </c>
      <c r="B43">
        <f>VALUE(Tabelle_Abfrage_von_MS_Access_Database[[#Headers],[2010]])</f>
        <v>2010</v>
      </c>
      <c r="C43">
        <f t="shared" si="58"/>
        <v>19</v>
      </c>
      <c r="F43">
        <v>19</v>
      </c>
      <c r="G43">
        <f>VALUE(Tabelle_Abfrage_von_MS_Access_Database7[[#Headers],[2010]])</f>
        <v>2010</v>
      </c>
      <c r="H43">
        <f t="shared" si="59"/>
        <v>19</v>
      </c>
    </row>
    <row r="44" spans="1:8" x14ac:dyDescent="0.25">
      <c r="A44">
        <v>20</v>
      </c>
      <c r="B44">
        <f>VALUE(Tabelle_Abfrage_von_MS_Access_Database[[#Headers],[2011]])</f>
        <v>2011</v>
      </c>
      <c r="C44">
        <f t="shared" si="58"/>
        <v>20</v>
      </c>
      <c r="F44">
        <v>20</v>
      </c>
      <c r="G44">
        <f>VALUE(Tabelle_Abfrage_von_MS_Access_Database7[[#Headers],[2011]])</f>
        <v>2011</v>
      </c>
      <c r="H44">
        <f t="shared" si="59"/>
        <v>20</v>
      </c>
    </row>
    <row r="45" spans="1:8" x14ac:dyDescent="0.25">
      <c r="A45">
        <v>21</v>
      </c>
      <c r="B45">
        <f>VALUE(Tabelle_Abfrage_von_MS_Access_Database[[#Headers],[2012]])</f>
        <v>2012</v>
      </c>
      <c r="C45">
        <f t="shared" si="58"/>
        <v>21</v>
      </c>
      <c r="F45">
        <v>21</v>
      </c>
      <c r="G45">
        <f>VALUE(Tabelle_Abfrage_von_MS_Access_Database7[[#Headers],[2012]])</f>
        <v>2012</v>
      </c>
      <c r="H45">
        <f t="shared" si="59"/>
        <v>21</v>
      </c>
    </row>
    <row r="46" spans="1:8" x14ac:dyDescent="0.25">
      <c r="A46">
        <v>22</v>
      </c>
      <c r="B46">
        <f>VALUE(Tabelle_Abfrage_von_MS_Access_Database[[#Headers],[2013]])</f>
        <v>2013</v>
      </c>
      <c r="C46">
        <f t="shared" si="58"/>
        <v>22</v>
      </c>
      <c r="F46">
        <v>22</v>
      </c>
      <c r="G46">
        <f>VALUE(Tabelle_Abfrage_von_MS_Access_Database7[[#Headers],[2013]])</f>
        <v>2013</v>
      </c>
      <c r="H46">
        <f t="shared" si="59"/>
        <v>22</v>
      </c>
    </row>
    <row r="47" spans="1:8" x14ac:dyDescent="0.25">
      <c r="A47">
        <v>23</v>
      </c>
      <c r="B47">
        <f>VALUE(Tabelle_Abfrage_von_MS_Access_Database[[#Headers],[2014]])</f>
        <v>2014</v>
      </c>
      <c r="C47">
        <f t="shared" si="58"/>
        <v>23</v>
      </c>
      <c r="F47">
        <v>23</v>
      </c>
      <c r="G47">
        <f>VALUE(Tabelle_Abfrage_von_MS_Access_Database7[[#Headers],[2014]])</f>
        <v>2014</v>
      </c>
      <c r="H47">
        <f t="shared" si="59"/>
        <v>23</v>
      </c>
    </row>
    <row r="48" spans="1:8" x14ac:dyDescent="0.25">
      <c r="A48">
        <v>24</v>
      </c>
      <c r="B48">
        <f>VALUE(Tabelle_Abfrage_von_MS_Access_Database[[#Headers],[2015]])</f>
        <v>2015</v>
      </c>
      <c r="C48">
        <f t="shared" ref="C48:C49" si="60">A48</f>
        <v>24</v>
      </c>
      <c r="F48">
        <v>24</v>
      </c>
      <c r="G48">
        <f>VALUE(Tabelle_Abfrage_von_MS_Access_Database7[[#Headers],[2015]])</f>
        <v>2015</v>
      </c>
      <c r="H48">
        <f t="shared" ref="H48:H49" si="61">F48</f>
        <v>24</v>
      </c>
    </row>
    <row r="49" spans="1:8" x14ac:dyDescent="0.25">
      <c r="A49">
        <v>25</v>
      </c>
      <c r="B49">
        <f>VALUE(Tabelle_Abfrage_von_MS_Access_Database[[#Headers],[2016]])</f>
        <v>2016</v>
      </c>
      <c r="C49">
        <f t="shared" si="60"/>
        <v>25</v>
      </c>
      <c r="F49">
        <v>25</v>
      </c>
      <c r="G49">
        <f>VALUE(Tabelle_Abfrage_von_MS_Access_Database7[[#Headers],[2016]])</f>
        <v>2016</v>
      </c>
      <c r="H49">
        <f t="shared" si="61"/>
        <v>25</v>
      </c>
    </row>
    <row r="50" spans="1:8" x14ac:dyDescent="0.25">
      <c r="A50">
        <v>26</v>
      </c>
      <c r="B50">
        <f>VALUE(Tabelle_Abfrage_von_MS_Access_Database[[#Headers],[2017]])</f>
        <v>2017</v>
      </c>
      <c r="C50">
        <f t="shared" ref="C50:C51" si="62">A50</f>
        <v>26</v>
      </c>
      <c r="F50">
        <v>26</v>
      </c>
      <c r="G50">
        <f>VALUE(Tabelle_Abfrage_von_MS_Access_Database7[[#Headers],[2017]])</f>
        <v>2017</v>
      </c>
      <c r="H50">
        <f t="shared" ref="H50:H51" si="63">F50</f>
        <v>26</v>
      </c>
    </row>
    <row r="51" spans="1:8" x14ac:dyDescent="0.25">
      <c r="A51">
        <v>27</v>
      </c>
      <c r="B51">
        <f>VALUE(Tabelle_Abfrage_von_MS_Access_Database[[#Headers],[2018]])</f>
        <v>2018</v>
      </c>
      <c r="C51">
        <f t="shared" si="62"/>
        <v>27</v>
      </c>
      <c r="F51">
        <v>27</v>
      </c>
      <c r="G51">
        <f>VALUE(Tabelle_Abfrage_von_MS_Access_Database7[[#Headers],[2018]])</f>
        <v>2018</v>
      </c>
      <c r="H51">
        <f t="shared" si="63"/>
        <v>27</v>
      </c>
    </row>
    <row r="52" spans="1:8" x14ac:dyDescent="0.25">
      <c r="A52">
        <v>28</v>
      </c>
      <c r="B52">
        <f>VALUE(Tabelle_Abfrage_von_MS_Access_Database[[#Headers],[2019]])</f>
        <v>2019</v>
      </c>
      <c r="C52">
        <f t="shared" ref="C52:C53" si="64">A52</f>
        <v>28</v>
      </c>
      <c r="F52">
        <v>28</v>
      </c>
      <c r="G52">
        <f>VALUE(Tabelle_Abfrage_von_MS_Access_Database7[[#Headers],[2019]])</f>
        <v>2019</v>
      </c>
      <c r="H52">
        <f t="shared" ref="H52:H53" si="65">F52</f>
        <v>28</v>
      </c>
    </row>
    <row r="53" spans="1:8" x14ac:dyDescent="0.25">
      <c r="A53">
        <v>29</v>
      </c>
      <c r="B53">
        <f>VALUE(Tabelle_Abfrage_von_MS_Access_Database[[#Headers],[2020]])</f>
        <v>2020</v>
      </c>
      <c r="C53">
        <f t="shared" si="64"/>
        <v>29</v>
      </c>
      <c r="F53">
        <v>29</v>
      </c>
      <c r="G53">
        <f>VALUE(Tabelle_Abfrage_von_MS_Access_Database7[[#Headers],[2020]])</f>
        <v>2020</v>
      </c>
      <c r="H53">
        <f t="shared" si="65"/>
        <v>29</v>
      </c>
    </row>
    <row r="54" spans="1:8" x14ac:dyDescent="0.25">
      <c r="A54">
        <v>30</v>
      </c>
      <c r="B54">
        <f>VALUE(Tabelle_Abfrage_von_MS_Access_Database[[#Headers],[2021]])</f>
        <v>2021</v>
      </c>
      <c r="C54">
        <f t="shared" ref="C54:C56" si="66">A54</f>
        <v>30</v>
      </c>
      <c r="F54">
        <v>30</v>
      </c>
      <c r="G54">
        <f>VALUE(Tabelle_Abfrage_von_MS_Access_Database7[[#Headers],[2021]])</f>
        <v>2021</v>
      </c>
      <c r="H54">
        <f t="shared" ref="H54:H56" si="67">F54</f>
        <v>30</v>
      </c>
    </row>
    <row r="55" spans="1:8" x14ac:dyDescent="0.25">
      <c r="A55">
        <v>31</v>
      </c>
      <c r="B55">
        <f>VALUE(Tabelle_Abfrage_von_MS_Access_Database[[#Headers],[2022]])</f>
        <v>2022</v>
      </c>
      <c r="C55">
        <f t="shared" si="66"/>
        <v>31</v>
      </c>
      <c r="F55">
        <v>31</v>
      </c>
      <c r="G55">
        <f>VALUE(Tabelle_Abfrage_von_MS_Access_Database7[[#Headers],[2022]])</f>
        <v>2022</v>
      </c>
      <c r="H55">
        <f t="shared" si="67"/>
        <v>31</v>
      </c>
    </row>
    <row r="56" spans="1:8" x14ac:dyDescent="0.25">
      <c r="A56">
        <v>32</v>
      </c>
      <c r="B56">
        <f>VALUE(Tabelle_Abfrage_von_MS_Access_Database[[#Headers],[2023]])</f>
        <v>2023</v>
      </c>
      <c r="C56">
        <f t="shared" si="66"/>
        <v>32</v>
      </c>
      <c r="F56">
        <v>32</v>
      </c>
      <c r="G56">
        <f>VALUE(Tabelle_Abfrage_von_MS_Access_Database7[[#Headers],[2023]])</f>
        <v>2023</v>
      </c>
      <c r="H56">
        <f t="shared" si="67"/>
        <v>32</v>
      </c>
    </row>
    <row r="57" spans="1:8" x14ac:dyDescent="0.25">
      <c r="A57">
        <v>33</v>
      </c>
      <c r="B57">
        <f>VALUE(Tabelle_Abfrage_von_MS_Access_Database[[#Headers],[2024]])</f>
        <v>2024</v>
      </c>
      <c r="C57">
        <f t="shared" ref="C57:C58" si="68">A57</f>
        <v>33</v>
      </c>
      <c r="F57">
        <v>33</v>
      </c>
      <c r="G57">
        <f>VALUE(Tabelle_Abfrage_von_MS_Access_Database7[[#Headers],[2024]])</f>
        <v>2024</v>
      </c>
      <c r="H57">
        <f t="shared" ref="H57:H58" si="69">F57</f>
        <v>33</v>
      </c>
    </row>
    <row r="58" spans="1:8" x14ac:dyDescent="0.25">
      <c r="A58">
        <v>34</v>
      </c>
      <c r="B58">
        <f>VALUE(Tabelle_Abfrage_von_MS_Access_Database[[#Headers],[2025]])</f>
        <v>2025</v>
      </c>
      <c r="C58">
        <f t="shared" si="68"/>
        <v>34</v>
      </c>
      <c r="F58">
        <v>34</v>
      </c>
      <c r="G58">
        <f>VALUE(Tabelle_Abfrage_von_MS_Access_Database7[[#Headers],[2025]])</f>
        <v>2025</v>
      </c>
      <c r="H58">
        <f t="shared" si="69"/>
        <v>34</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dimension ref="A1:AR31"/>
  <sheetViews>
    <sheetView topLeftCell="N5" workbookViewId="0">
      <selection activeCell="AR18" sqref="AR18"/>
    </sheetView>
  </sheetViews>
  <sheetFormatPr baseColWidth="10" defaultRowHeight="12.5" x14ac:dyDescent="0.25"/>
  <cols>
    <col min="1" max="1" width="12.453125" bestFit="1" customWidth="1"/>
    <col min="5" max="5" width="12.453125" bestFit="1" customWidth="1"/>
    <col min="10" max="10" width="12" bestFit="1" customWidth="1"/>
    <col min="11" max="11" width="12.453125" bestFit="1" customWidth="1"/>
    <col min="12" max="13" width="12.453125" customWidth="1"/>
    <col min="17" max="17" width="12" bestFit="1" customWidth="1"/>
  </cols>
  <sheetData>
    <row r="1" spans="1:44" x14ac:dyDescent="0.25">
      <c r="A1">
        <f>LOOKUP(Auswahl_Jahr,Export_Jahreszahlen,Export_Spaltenindex)</f>
        <v>34</v>
      </c>
      <c r="B1" t="s">
        <v>39</v>
      </c>
      <c r="E1">
        <f>LOOKUP(Auswahl_Jahr,Export_Jahreszahlen,Export_Spaltenindex)</f>
        <v>34</v>
      </c>
      <c r="F1" t="s">
        <v>38</v>
      </c>
      <c r="L1">
        <v>2</v>
      </c>
      <c r="M1">
        <v>3</v>
      </c>
      <c r="N1">
        <v>4</v>
      </c>
      <c r="O1">
        <v>5</v>
      </c>
      <c r="P1">
        <v>6</v>
      </c>
      <c r="Q1">
        <v>7</v>
      </c>
      <c r="R1">
        <v>8</v>
      </c>
      <c r="S1">
        <v>9</v>
      </c>
      <c r="T1">
        <v>10</v>
      </c>
      <c r="U1">
        <v>11</v>
      </c>
      <c r="V1">
        <v>12</v>
      </c>
      <c r="W1">
        <v>13</v>
      </c>
      <c r="X1">
        <v>14</v>
      </c>
      <c r="Y1">
        <v>15</v>
      </c>
      <c r="Z1">
        <v>16</v>
      </c>
      <c r="AA1">
        <v>17</v>
      </c>
      <c r="AB1">
        <v>18</v>
      </c>
      <c r="AC1">
        <v>19</v>
      </c>
      <c r="AD1">
        <v>20</v>
      </c>
      <c r="AE1">
        <v>21</v>
      </c>
      <c r="AF1">
        <v>22</v>
      </c>
      <c r="AG1">
        <v>23</v>
      </c>
      <c r="AH1">
        <v>24</v>
      </c>
      <c r="AI1">
        <v>25</v>
      </c>
      <c r="AJ1">
        <v>26</v>
      </c>
      <c r="AK1">
        <v>27</v>
      </c>
      <c r="AL1">
        <v>28</v>
      </c>
      <c r="AM1">
        <v>29</v>
      </c>
      <c r="AN1">
        <v>30</v>
      </c>
      <c r="AO1">
        <v>31</v>
      </c>
      <c r="AP1">
        <v>32</v>
      </c>
      <c r="AQ1">
        <v>33</v>
      </c>
      <c r="AR1">
        <v>34</v>
      </c>
    </row>
    <row r="2" spans="1:44" x14ac:dyDescent="0.25">
      <c r="A2">
        <f>Auswahl_Jahr</f>
        <v>2025</v>
      </c>
      <c r="B2" t="str">
        <f>Export!A1</f>
        <v>LAND</v>
      </c>
      <c r="C2" t="str">
        <f>Export!B1</f>
        <v>Positionen</v>
      </c>
      <c r="E2">
        <f>Auswahl_Jahr</f>
        <v>2025</v>
      </c>
      <c r="F2" t="str">
        <f>Import!A1</f>
        <v>LAND</v>
      </c>
      <c r="G2" t="str">
        <f>Import!B1</f>
        <v>Positionen</v>
      </c>
      <c r="J2" t="s">
        <v>41</v>
      </c>
      <c r="K2">
        <f>Auswahl_Jahr</f>
        <v>2025</v>
      </c>
      <c r="L2" t="s">
        <v>53</v>
      </c>
      <c r="M2" t="s">
        <v>54</v>
      </c>
      <c r="N2">
        <f>VALUE(Tabelle_Abfrage_von_MS_Access_Database[[#Headers],[1995]])</f>
        <v>1995</v>
      </c>
      <c r="O2">
        <f>VALUE(Tabelle_Abfrage_von_MS_Access_Database[[#Headers],[1996]])</f>
        <v>1996</v>
      </c>
      <c r="P2">
        <f>VALUE(Tabelle_Abfrage_von_MS_Access_Database[[#Headers],[1997]])</f>
        <v>1997</v>
      </c>
      <c r="Q2">
        <f>VALUE(Tabelle_Abfrage_von_MS_Access_Database[[#Headers],[1998]])</f>
        <v>1998</v>
      </c>
      <c r="R2">
        <f>VALUE(Tabelle_Abfrage_von_MS_Access_Database[[#Headers],[1999]])</f>
        <v>1999</v>
      </c>
      <c r="S2">
        <f>VALUE(Tabelle_Abfrage_von_MS_Access_Database[[#Headers],[2000]])</f>
        <v>2000</v>
      </c>
      <c r="T2">
        <f>VALUE(Tabelle_Abfrage_von_MS_Access_Database[[#Headers],[2001]])</f>
        <v>2001</v>
      </c>
      <c r="U2">
        <f>VALUE(Tabelle_Abfrage_von_MS_Access_Database[[#Headers],[2002]])</f>
        <v>2002</v>
      </c>
      <c r="V2">
        <f>VALUE(Tabelle_Abfrage_von_MS_Access_Database[[#Headers],[2003]])</f>
        <v>2003</v>
      </c>
      <c r="W2">
        <f>VALUE(Tabelle_Abfrage_von_MS_Access_Database[[#Headers],[2004]])</f>
        <v>2004</v>
      </c>
      <c r="X2">
        <f>VALUE(Tabelle_Abfrage_von_MS_Access_Database[[#Headers],[2005]])</f>
        <v>2005</v>
      </c>
      <c r="Y2">
        <f>VALUE(Tabelle_Abfrage_von_MS_Access_Database[[#Headers],[2006]])</f>
        <v>2006</v>
      </c>
      <c r="Z2">
        <f>VALUE(Tabelle_Abfrage_von_MS_Access_Database[[#Headers],[2007]])</f>
        <v>2007</v>
      </c>
      <c r="AA2">
        <f>VALUE(Tabelle_Abfrage_von_MS_Access_Database[[#Headers],[2008]])</f>
        <v>2008</v>
      </c>
      <c r="AB2">
        <f>VALUE(Tabelle_Abfrage_von_MS_Access_Database[[#Headers],[2009]])</f>
        <v>2009</v>
      </c>
      <c r="AC2">
        <f>VALUE(Tabelle_Abfrage_von_MS_Access_Database[[#Headers],[2010]])</f>
        <v>2010</v>
      </c>
      <c r="AD2">
        <f>VALUE(Tabelle_Abfrage_von_MS_Access_Database[[#Headers],[2011]])</f>
        <v>2011</v>
      </c>
      <c r="AE2">
        <f>VALUE(Tabelle_Abfrage_von_MS_Access_Database[[#Headers],[2012]])</f>
        <v>2012</v>
      </c>
      <c r="AF2">
        <f>VALUE(Tabelle_Abfrage_von_MS_Access_Database[[#Headers],[2013]])</f>
        <v>2013</v>
      </c>
      <c r="AG2">
        <f>VALUE(Tabelle_Abfrage_von_MS_Access_Database[[#Headers],[2014]])</f>
        <v>2014</v>
      </c>
      <c r="AH2">
        <f>VALUE(Tabelle_Abfrage_von_MS_Access_Database[[#Headers],[2015]])</f>
        <v>2015</v>
      </c>
      <c r="AI2">
        <f>VALUE(Tabelle_Abfrage_von_MS_Access_Database[[#Headers],[2016]])</f>
        <v>2016</v>
      </c>
      <c r="AJ2">
        <f>VALUE(Tabelle_Abfrage_von_MS_Access_Database[[#Headers],[2017]])</f>
        <v>2017</v>
      </c>
      <c r="AK2">
        <f>VALUE(Tabelle_Abfrage_von_MS_Access_Database[[#Headers],[2018]])</f>
        <v>2018</v>
      </c>
      <c r="AL2">
        <f>VALUE(Tabelle_Abfrage_von_MS_Access_Database[[#Headers],[2019]])</f>
        <v>2019</v>
      </c>
      <c r="AM2">
        <f>VALUE(Tabelle_Abfrage_von_MS_Access_Database[[#Headers],[2020]])</f>
        <v>2020</v>
      </c>
      <c r="AN2">
        <f>VALUE(Tabelle_Abfrage_von_MS_Access_Database[[#Headers],[2021]])</f>
        <v>2021</v>
      </c>
      <c r="AO2">
        <f>VALUE(Tabelle_Abfrage_von_MS_Access_Database[[#Headers],[2022]])</f>
        <v>2022</v>
      </c>
      <c r="AP2">
        <f>VALUE(Tabelle_Abfrage_von_MS_Access_Database[[#Headers],[2023]])</f>
        <v>2023</v>
      </c>
      <c r="AQ2">
        <f>VALUE(Tabelle_Abfrage_von_MS_Access_Database[[#Headers],[2024]])</f>
        <v>2024</v>
      </c>
      <c r="AR2">
        <f>VALUE(Tabelle_Abfrage_von_MS_Access_Database[[#Headers],[2025]])</f>
        <v>2025</v>
      </c>
    </row>
    <row r="3" spans="1:44" x14ac:dyDescent="0.25">
      <c r="A3">
        <f t="shared" ref="A3" si="0">VLOOKUP(C3,Export_Matrix,$A$1,FALSE)/Einheit_Wert</f>
        <v>2337</v>
      </c>
      <c r="B3" t="str">
        <f>Export!A2</f>
        <v>003</v>
      </c>
      <c r="C3" t="str">
        <f>Export!B2</f>
        <v>Gebühren für Lohnveredelung</v>
      </c>
      <c r="E3">
        <f t="shared" ref="E3" si="1">VLOOKUP(G3,Import_Matrix,$A$1,FALSE)/Einheit_Wert</f>
        <v>3543</v>
      </c>
      <c r="F3" t="str">
        <f>Import!A2</f>
        <v>003</v>
      </c>
      <c r="G3" t="str">
        <f>Import!B2</f>
        <v>Gebühren für Lohnveredelung</v>
      </c>
      <c r="I3">
        <v>1</v>
      </c>
      <c r="J3" t="str">
        <f t="shared" ref="J3:J12" si="2">VLOOKUP(K3,$A$3:$C$31,3,FALSE)</f>
        <v>Privatreisen</v>
      </c>
      <c r="K3">
        <f t="shared" ref="K3:K12" si="3">LARGE(Export_Ranking,I3)</f>
        <v>22238</v>
      </c>
      <c r="L3" t="str">
        <f t="shared" ref="L3:M12" si="4">VLOOKUP($J3,Export_Matrix,L$1,FALSE)</f>
        <v>1995</v>
      </c>
      <c r="M3" t="str">
        <f t="shared" si="4"/>
        <v>9999</v>
      </c>
      <c r="N3">
        <f t="shared" ref="N3:W12" si="5">VLOOKUP($J3,Export_Matrix,N$1,FALSE)/Einheit_Wert</f>
        <v>8337</v>
      </c>
      <c r="O3">
        <f t="shared" si="5"/>
        <v>8286</v>
      </c>
      <c r="P3">
        <f t="shared" si="5"/>
        <v>8156</v>
      </c>
      <c r="Q3">
        <f t="shared" si="5"/>
        <v>8068</v>
      </c>
      <c r="R3">
        <f t="shared" si="5"/>
        <v>8463</v>
      </c>
      <c r="S3">
        <f t="shared" si="5"/>
        <v>8875</v>
      </c>
      <c r="T3">
        <f t="shared" si="5"/>
        <v>9290</v>
      </c>
      <c r="U3">
        <f t="shared" si="5"/>
        <v>9752</v>
      </c>
      <c r="V3">
        <f t="shared" si="5"/>
        <v>10051</v>
      </c>
      <c r="W3">
        <f t="shared" si="5"/>
        <v>10213</v>
      </c>
      <c r="X3">
        <f t="shared" ref="X3:AR12" si="6">VLOOKUP($J3,Export_Matrix,X$1,FALSE)/Einheit_Wert</f>
        <v>10590</v>
      </c>
      <c r="Y3">
        <f t="shared" si="6"/>
        <v>10822</v>
      </c>
      <c r="Z3">
        <f t="shared" si="6"/>
        <v>11003</v>
      </c>
      <c r="AA3">
        <f t="shared" si="6"/>
        <v>12107</v>
      </c>
      <c r="AB3">
        <f t="shared" si="6"/>
        <v>11727</v>
      </c>
      <c r="AC3">
        <f t="shared" si="6"/>
        <v>11875</v>
      </c>
      <c r="AD3">
        <f t="shared" si="6"/>
        <v>12147</v>
      </c>
      <c r="AE3">
        <f t="shared" si="6"/>
        <v>12508</v>
      </c>
      <c r="AF3">
        <f t="shared" si="6"/>
        <v>12939</v>
      </c>
      <c r="AG3">
        <f t="shared" si="6"/>
        <v>13371</v>
      </c>
      <c r="AH3">
        <f t="shared" si="6"/>
        <v>14139</v>
      </c>
      <c r="AI3">
        <f t="shared" si="6"/>
        <v>14967</v>
      </c>
      <c r="AJ3">
        <f t="shared" si="6"/>
        <v>15672</v>
      </c>
      <c r="AK3">
        <f t="shared" si="6"/>
        <v>16868</v>
      </c>
      <c r="AL3">
        <f t="shared" si="6"/>
        <v>17554</v>
      </c>
      <c r="AM3">
        <f t="shared" si="6"/>
        <v>10292</v>
      </c>
      <c r="AN3">
        <f t="shared" si="6"/>
        <v>7077</v>
      </c>
      <c r="AO3">
        <f t="shared" si="6"/>
        <v>16208</v>
      </c>
      <c r="AP3">
        <f t="shared" si="6"/>
        <v>19570</v>
      </c>
      <c r="AQ3">
        <f t="shared" si="6"/>
        <v>20804</v>
      </c>
      <c r="AR3">
        <f t="shared" si="6"/>
        <v>22238</v>
      </c>
    </row>
    <row r="4" spans="1:44" x14ac:dyDescent="0.25">
      <c r="A4">
        <f t="shared" ref="A4:A31" si="7">VLOOKUP(C4,Export_Matrix,$A$1,FALSE)/Einheit_Wert</f>
        <v>1143</v>
      </c>
      <c r="B4" t="str">
        <f>Export!A3</f>
        <v>004</v>
      </c>
      <c r="C4" t="str">
        <f>Export!B3</f>
        <v>Reparaturdienstleistungen</v>
      </c>
      <c r="E4">
        <f t="shared" ref="E4:E31" si="8">VLOOKUP(G4,Import_Matrix,$A$1,FALSE)/Einheit_Wert</f>
        <v>1548</v>
      </c>
      <c r="F4" t="str">
        <f>Import!A3</f>
        <v>004</v>
      </c>
      <c r="G4" t="str">
        <f>Import!B3</f>
        <v>Reparaturdienstleistungen</v>
      </c>
      <c r="I4">
        <v>2</v>
      </c>
      <c r="J4" t="str">
        <f t="shared" si="2"/>
        <v>Frachten</v>
      </c>
      <c r="K4">
        <f t="shared" si="3"/>
        <v>13707</v>
      </c>
      <c r="L4" t="str">
        <f t="shared" si="4"/>
        <v>1995</v>
      </c>
      <c r="M4" t="str">
        <f t="shared" si="4"/>
        <v>9999</v>
      </c>
      <c r="N4">
        <f t="shared" si="5"/>
        <v>1573</v>
      </c>
      <c r="O4">
        <f t="shared" si="5"/>
        <v>1668</v>
      </c>
      <c r="P4">
        <f t="shared" si="5"/>
        <v>1891</v>
      </c>
      <c r="Q4">
        <f t="shared" si="5"/>
        <v>2228</v>
      </c>
      <c r="R4">
        <f t="shared" si="5"/>
        <v>2121</v>
      </c>
      <c r="S4">
        <f t="shared" si="5"/>
        <v>2526</v>
      </c>
      <c r="T4">
        <f t="shared" si="5"/>
        <v>2970</v>
      </c>
      <c r="U4">
        <f t="shared" si="5"/>
        <v>3415</v>
      </c>
      <c r="V4">
        <f t="shared" si="5"/>
        <v>3574</v>
      </c>
      <c r="W4">
        <f t="shared" si="5"/>
        <v>4446</v>
      </c>
      <c r="X4">
        <f t="shared" si="6"/>
        <v>4830</v>
      </c>
      <c r="Y4">
        <f t="shared" si="6"/>
        <v>6271</v>
      </c>
      <c r="Z4">
        <f t="shared" si="6"/>
        <v>6921</v>
      </c>
      <c r="AA4">
        <f t="shared" si="6"/>
        <v>7433</v>
      </c>
      <c r="AB4">
        <f t="shared" si="6"/>
        <v>6244</v>
      </c>
      <c r="AC4">
        <f t="shared" si="6"/>
        <v>7105</v>
      </c>
      <c r="AD4">
        <f t="shared" si="6"/>
        <v>7485</v>
      </c>
      <c r="AE4">
        <f t="shared" si="6"/>
        <v>7500</v>
      </c>
      <c r="AF4">
        <f t="shared" si="6"/>
        <v>8150</v>
      </c>
      <c r="AG4">
        <f t="shared" si="6"/>
        <v>8541</v>
      </c>
      <c r="AH4">
        <f t="shared" si="6"/>
        <v>8955</v>
      </c>
      <c r="AI4">
        <f t="shared" si="6"/>
        <v>9267</v>
      </c>
      <c r="AJ4">
        <f t="shared" si="6"/>
        <v>9880</v>
      </c>
      <c r="AK4">
        <f t="shared" si="6"/>
        <v>10321</v>
      </c>
      <c r="AL4">
        <f t="shared" si="6"/>
        <v>10705</v>
      </c>
      <c r="AM4">
        <f t="shared" si="6"/>
        <v>10138</v>
      </c>
      <c r="AN4">
        <f t="shared" si="6"/>
        <v>12055</v>
      </c>
      <c r="AO4">
        <f t="shared" si="6"/>
        <v>15197</v>
      </c>
      <c r="AP4">
        <f t="shared" si="6"/>
        <v>13287</v>
      </c>
      <c r="AQ4">
        <f t="shared" si="6"/>
        <v>13647</v>
      </c>
      <c r="AR4">
        <f t="shared" si="6"/>
        <v>13707</v>
      </c>
    </row>
    <row r="5" spans="1:44" x14ac:dyDescent="0.25">
      <c r="A5">
        <f t="shared" si="7"/>
        <v>2647</v>
      </c>
      <c r="B5" t="str">
        <f>Export!A4</f>
        <v>006</v>
      </c>
      <c r="C5" t="str">
        <f>Export!B4</f>
        <v>Internationaler Personentransport</v>
      </c>
      <c r="E5">
        <f t="shared" si="8"/>
        <v>1826</v>
      </c>
      <c r="F5" t="str">
        <f>Import!A4</f>
        <v>006</v>
      </c>
      <c r="G5" t="str">
        <f>Import!B4</f>
        <v>Internationaler Personentransport</v>
      </c>
      <c r="I5">
        <v>3</v>
      </c>
      <c r="J5" t="str">
        <f t="shared" si="2"/>
        <v>Technische, Handels- und sonstige unternehmensbezogene Dienstleistungen</v>
      </c>
      <c r="K5">
        <f t="shared" si="3"/>
        <v>13321</v>
      </c>
      <c r="L5" t="str">
        <f t="shared" si="4"/>
        <v>1995</v>
      </c>
      <c r="M5" t="str">
        <f t="shared" si="4"/>
        <v>9999</v>
      </c>
      <c r="N5">
        <f t="shared" si="5"/>
        <v>1589</v>
      </c>
      <c r="O5">
        <f t="shared" si="5"/>
        <v>1745</v>
      </c>
      <c r="P5">
        <f t="shared" si="5"/>
        <v>1788</v>
      </c>
      <c r="Q5">
        <f t="shared" si="5"/>
        <v>2260</v>
      </c>
      <c r="R5">
        <f t="shared" si="5"/>
        <v>2233</v>
      </c>
      <c r="S5">
        <f t="shared" si="5"/>
        <v>2414</v>
      </c>
      <c r="T5">
        <f t="shared" si="5"/>
        <v>2859</v>
      </c>
      <c r="U5">
        <f t="shared" si="5"/>
        <v>2882</v>
      </c>
      <c r="V5">
        <f t="shared" si="5"/>
        <v>3018</v>
      </c>
      <c r="W5">
        <f t="shared" si="5"/>
        <v>2997</v>
      </c>
      <c r="X5">
        <f t="shared" si="6"/>
        <v>3378</v>
      </c>
      <c r="Y5">
        <f t="shared" si="6"/>
        <v>3604</v>
      </c>
      <c r="Z5">
        <f t="shared" si="6"/>
        <v>3764</v>
      </c>
      <c r="AA5">
        <f t="shared" si="6"/>
        <v>4248</v>
      </c>
      <c r="AB5">
        <f t="shared" si="6"/>
        <v>3858</v>
      </c>
      <c r="AC5">
        <f t="shared" si="6"/>
        <v>3940</v>
      </c>
      <c r="AD5">
        <f t="shared" si="6"/>
        <v>4730</v>
      </c>
      <c r="AE5">
        <f t="shared" si="6"/>
        <v>5525</v>
      </c>
      <c r="AF5">
        <f t="shared" si="6"/>
        <v>6028</v>
      </c>
      <c r="AG5">
        <f t="shared" si="6"/>
        <v>6138</v>
      </c>
      <c r="AH5">
        <f t="shared" si="6"/>
        <v>6487</v>
      </c>
      <c r="AI5">
        <f t="shared" si="6"/>
        <v>6972</v>
      </c>
      <c r="AJ5">
        <f t="shared" si="6"/>
        <v>7633</v>
      </c>
      <c r="AK5">
        <f t="shared" si="6"/>
        <v>8922</v>
      </c>
      <c r="AL5">
        <f t="shared" si="6"/>
        <v>9162</v>
      </c>
      <c r="AM5">
        <f t="shared" si="6"/>
        <v>8910</v>
      </c>
      <c r="AN5">
        <f t="shared" si="6"/>
        <v>10780</v>
      </c>
      <c r="AO5">
        <f t="shared" si="6"/>
        <v>11012</v>
      </c>
      <c r="AP5">
        <f t="shared" si="6"/>
        <v>11898</v>
      </c>
      <c r="AQ5">
        <f t="shared" si="6"/>
        <v>13154</v>
      </c>
      <c r="AR5">
        <f t="shared" si="6"/>
        <v>13321</v>
      </c>
    </row>
    <row r="6" spans="1:44" x14ac:dyDescent="0.25">
      <c r="A6">
        <f t="shared" si="7"/>
        <v>13707</v>
      </c>
      <c r="B6" t="str">
        <f>Export!A5</f>
        <v>007</v>
      </c>
      <c r="C6" t="str">
        <f>Export!B5</f>
        <v>Frachten</v>
      </c>
      <c r="E6">
        <f t="shared" si="8"/>
        <v>16581</v>
      </c>
      <c r="F6" t="str">
        <f>Import!A5</f>
        <v>007</v>
      </c>
      <c r="G6" t="str">
        <f>Import!B5</f>
        <v>Frachten</v>
      </c>
      <c r="I6">
        <v>4</v>
      </c>
      <c r="J6" t="str">
        <f t="shared" si="2"/>
        <v>EDV-Dienstleistungen</v>
      </c>
      <c r="K6">
        <f t="shared" si="3"/>
        <v>10783</v>
      </c>
      <c r="L6" t="str">
        <f t="shared" si="4"/>
        <v>1995</v>
      </c>
      <c r="M6" t="str">
        <f t="shared" si="4"/>
        <v>9999</v>
      </c>
      <c r="N6">
        <f t="shared" si="5"/>
        <v>210</v>
      </c>
      <c r="O6">
        <f t="shared" si="5"/>
        <v>260</v>
      </c>
      <c r="P6">
        <f t="shared" si="5"/>
        <v>316</v>
      </c>
      <c r="Q6">
        <f t="shared" si="5"/>
        <v>365</v>
      </c>
      <c r="R6">
        <f t="shared" si="5"/>
        <v>416</v>
      </c>
      <c r="S6">
        <f t="shared" si="5"/>
        <v>537</v>
      </c>
      <c r="T6">
        <f t="shared" si="5"/>
        <v>690</v>
      </c>
      <c r="U6">
        <f t="shared" si="5"/>
        <v>699</v>
      </c>
      <c r="V6">
        <f t="shared" si="5"/>
        <v>873</v>
      </c>
      <c r="W6">
        <f t="shared" si="5"/>
        <v>972</v>
      </c>
      <c r="X6">
        <f t="shared" si="6"/>
        <v>1249</v>
      </c>
      <c r="Y6">
        <f t="shared" si="6"/>
        <v>1431</v>
      </c>
      <c r="Z6">
        <f t="shared" si="6"/>
        <v>1581</v>
      </c>
      <c r="AA6">
        <f t="shared" si="6"/>
        <v>1752</v>
      </c>
      <c r="AB6">
        <f t="shared" si="6"/>
        <v>1740</v>
      </c>
      <c r="AC6">
        <f t="shared" si="6"/>
        <v>1861</v>
      </c>
      <c r="AD6">
        <f t="shared" si="6"/>
        <v>2407</v>
      </c>
      <c r="AE6">
        <f t="shared" si="6"/>
        <v>3007</v>
      </c>
      <c r="AF6">
        <f t="shared" si="6"/>
        <v>3449</v>
      </c>
      <c r="AG6">
        <f t="shared" si="6"/>
        <v>4050</v>
      </c>
      <c r="AH6">
        <f t="shared" si="6"/>
        <v>4076</v>
      </c>
      <c r="AI6">
        <f t="shared" si="6"/>
        <v>4194</v>
      </c>
      <c r="AJ6">
        <f t="shared" si="6"/>
        <v>4718</v>
      </c>
      <c r="AK6">
        <f t="shared" si="6"/>
        <v>5573</v>
      </c>
      <c r="AL6">
        <f t="shared" si="6"/>
        <v>6522</v>
      </c>
      <c r="AM6">
        <f t="shared" si="6"/>
        <v>6706</v>
      </c>
      <c r="AN6">
        <f t="shared" si="6"/>
        <v>7290</v>
      </c>
      <c r="AO6">
        <f t="shared" si="6"/>
        <v>8299</v>
      </c>
      <c r="AP6">
        <f t="shared" si="6"/>
        <v>9011</v>
      </c>
      <c r="AQ6">
        <f t="shared" si="6"/>
        <v>9879</v>
      </c>
      <c r="AR6">
        <f t="shared" si="6"/>
        <v>10783</v>
      </c>
    </row>
    <row r="7" spans="1:44" x14ac:dyDescent="0.25">
      <c r="A7">
        <f t="shared" si="7"/>
        <v>3014</v>
      </c>
      <c r="B7" t="str">
        <f>Export!A6</f>
        <v>008</v>
      </c>
      <c r="C7" t="str">
        <f>Export!B6</f>
        <v>Transporthilfsleistungen</v>
      </c>
      <c r="E7">
        <f t="shared" si="8"/>
        <v>1107</v>
      </c>
      <c r="F7" t="str">
        <f>Import!A6</f>
        <v>008</v>
      </c>
      <c r="G7" t="str">
        <f>Import!B6</f>
        <v>Transporthilfsleistungen</v>
      </c>
      <c r="I7">
        <v>5</v>
      </c>
      <c r="J7" t="str">
        <f t="shared" si="2"/>
        <v>Rechts- und Wirtschaftsdienste, Werbung und Marktforschung</v>
      </c>
      <c r="K7">
        <f t="shared" si="3"/>
        <v>5313</v>
      </c>
      <c r="L7" t="str">
        <f t="shared" si="4"/>
        <v>1995</v>
      </c>
      <c r="M7" t="str">
        <f t="shared" si="4"/>
        <v>9999</v>
      </c>
      <c r="N7">
        <f t="shared" si="5"/>
        <v>512</v>
      </c>
      <c r="O7">
        <f t="shared" si="5"/>
        <v>665</v>
      </c>
      <c r="P7">
        <f t="shared" si="5"/>
        <v>697</v>
      </c>
      <c r="Q7">
        <f t="shared" si="5"/>
        <v>858</v>
      </c>
      <c r="R7">
        <f t="shared" si="5"/>
        <v>922</v>
      </c>
      <c r="S7">
        <f t="shared" si="5"/>
        <v>1185</v>
      </c>
      <c r="T7">
        <f t="shared" si="5"/>
        <v>1381</v>
      </c>
      <c r="U7">
        <f t="shared" si="5"/>
        <v>1413</v>
      </c>
      <c r="V7">
        <f t="shared" si="5"/>
        <v>1330</v>
      </c>
      <c r="W7">
        <f t="shared" si="5"/>
        <v>1308</v>
      </c>
      <c r="X7">
        <f t="shared" si="6"/>
        <v>1480</v>
      </c>
      <c r="Y7">
        <f t="shared" si="6"/>
        <v>1519</v>
      </c>
      <c r="Z7">
        <f t="shared" si="6"/>
        <v>1685</v>
      </c>
      <c r="AA7">
        <f t="shared" si="6"/>
        <v>1810</v>
      </c>
      <c r="AB7">
        <f t="shared" si="6"/>
        <v>1643</v>
      </c>
      <c r="AC7">
        <f t="shared" si="6"/>
        <v>1659</v>
      </c>
      <c r="AD7">
        <f t="shared" si="6"/>
        <v>1943</v>
      </c>
      <c r="AE7">
        <f t="shared" si="6"/>
        <v>2239</v>
      </c>
      <c r="AF7">
        <f t="shared" si="6"/>
        <v>2621</v>
      </c>
      <c r="AG7">
        <f t="shared" si="6"/>
        <v>2899</v>
      </c>
      <c r="AH7">
        <f t="shared" si="6"/>
        <v>3032</v>
      </c>
      <c r="AI7">
        <f t="shared" si="6"/>
        <v>3146</v>
      </c>
      <c r="AJ7">
        <f t="shared" si="6"/>
        <v>3386</v>
      </c>
      <c r="AK7">
        <f t="shared" si="6"/>
        <v>3639</v>
      </c>
      <c r="AL7">
        <f t="shared" si="6"/>
        <v>3987</v>
      </c>
      <c r="AM7">
        <f t="shared" si="6"/>
        <v>3675</v>
      </c>
      <c r="AN7">
        <f t="shared" si="6"/>
        <v>3734</v>
      </c>
      <c r="AO7">
        <f t="shared" si="6"/>
        <v>4395</v>
      </c>
      <c r="AP7">
        <f t="shared" si="6"/>
        <v>4729</v>
      </c>
      <c r="AQ7">
        <f t="shared" si="6"/>
        <v>5153</v>
      </c>
      <c r="AR7">
        <f t="shared" si="6"/>
        <v>5313</v>
      </c>
    </row>
    <row r="8" spans="1:44" x14ac:dyDescent="0.25">
      <c r="A8">
        <f t="shared" si="7"/>
        <v>1479</v>
      </c>
      <c r="B8" t="str">
        <f>Export!A7</f>
        <v>009</v>
      </c>
      <c r="C8" t="str">
        <f>Export!B7</f>
        <v>Post- und Kurierdienste</v>
      </c>
      <c r="E8">
        <f t="shared" si="8"/>
        <v>524</v>
      </c>
      <c r="F8" t="str">
        <f>Import!A7</f>
        <v>009</v>
      </c>
      <c r="G8" t="str">
        <f>Import!B7</f>
        <v>Post- und Kurierdienste</v>
      </c>
      <c r="I8">
        <v>6</v>
      </c>
      <c r="J8" t="str">
        <f t="shared" si="2"/>
        <v>Geschäftsreisen</v>
      </c>
      <c r="K8">
        <f t="shared" si="3"/>
        <v>3664</v>
      </c>
      <c r="L8" t="str">
        <f t="shared" si="4"/>
        <v>1995</v>
      </c>
      <c r="M8" t="str">
        <f t="shared" si="4"/>
        <v>9999</v>
      </c>
      <c r="N8">
        <f t="shared" si="5"/>
        <v>1546</v>
      </c>
      <c r="O8">
        <f t="shared" si="5"/>
        <v>1549</v>
      </c>
      <c r="P8">
        <f t="shared" si="5"/>
        <v>1533</v>
      </c>
      <c r="Q8">
        <f t="shared" si="5"/>
        <v>1582</v>
      </c>
      <c r="R8">
        <f t="shared" si="5"/>
        <v>1622</v>
      </c>
      <c r="S8">
        <f t="shared" si="5"/>
        <v>1718</v>
      </c>
      <c r="T8">
        <f t="shared" si="5"/>
        <v>1757</v>
      </c>
      <c r="U8">
        <f t="shared" si="5"/>
        <v>1826</v>
      </c>
      <c r="V8">
        <f t="shared" si="5"/>
        <v>1865</v>
      </c>
      <c r="W8">
        <f t="shared" si="5"/>
        <v>1990</v>
      </c>
      <c r="X8">
        <f t="shared" si="6"/>
        <v>2314</v>
      </c>
      <c r="Y8">
        <f t="shared" si="6"/>
        <v>2433</v>
      </c>
      <c r="Z8">
        <f t="shared" si="6"/>
        <v>2638</v>
      </c>
      <c r="AA8">
        <f t="shared" si="6"/>
        <v>2570</v>
      </c>
      <c r="AB8">
        <f t="shared" si="6"/>
        <v>2169</v>
      </c>
      <c r="AC8">
        <f t="shared" si="6"/>
        <v>2152</v>
      </c>
      <c r="AD8">
        <f t="shared" si="6"/>
        <v>2120</v>
      </c>
      <c r="AE8">
        <f t="shared" si="6"/>
        <v>2198</v>
      </c>
      <c r="AF8">
        <f t="shared" si="6"/>
        <v>2298</v>
      </c>
      <c r="AG8">
        <f t="shared" si="6"/>
        <v>2304</v>
      </c>
      <c r="AH8">
        <f t="shared" si="6"/>
        <v>2297</v>
      </c>
      <c r="AI8">
        <f t="shared" si="6"/>
        <v>2434</v>
      </c>
      <c r="AJ8">
        <f t="shared" si="6"/>
        <v>2439</v>
      </c>
      <c r="AK8">
        <f t="shared" si="6"/>
        <v>2691</v>
      </c>
      <c r="AL8">
        <f t="shared" si="6"/>
        <v>2940</v>
      </c>
      <c r="AM8">
        <f t="shared" si="6"/>
        <v>1833</v>
      </c>
      <c r="AN8">
        <f t="shared" si="6"/>
        <v>1758</v>
      </c>
      <c r="AO8">
        <f t="shared" si="6"/>
        <v>2510</v>
      </c>
      <c r="AP8">
        <f t="shared" si="6"/>
        <v>3232</v>
      </c>
      <c r="AQ8">
        <f t="shared" si="6"/>
        <v>3498</v>
      </c>
      <c r="AR8">
        <f t="shared" si="6"/>
        <v>3664</v>
      </c>
    </row>
    <row r="9" spans="1:44" x14ac:dyDescent="0.25">
      <c r="A9">
        <f t="shared" si="7"/>
        <v>3664</v>
      </c>
      <c r="B9" t="str">
        <f>Export!A8</f>
        <v>017</v>
      </c>
      <c r="C9" t="str">
        <f>Export!B8</f>
        <v>Geschäftsreisen</v>
      </c>
      <c r="E9">
        <f t="shared" si="8"/>
        <v>2226</v>
      </c>
      <c r="F9" t="str">
        <f>Import!A8</f>
        <v>017</v>
      </c>
      <c r="G9" t="str">
        <f>Import!B8</f>
        <v>Geschäftsreisen</v>
      </c>
      <c r="I9">
        <v>7</v>
      </c>
      <c r="J9" t="str">
        <f t="shared" si="2"/>
        <v>Forschungs- und Entwicklungsleistungen</v>
      </c>
      <c r="K9">
        <f t="shared" si="3"/>
        <v>3601</v>
      </c>
      <c r="L9" t="str">
        <f t="shared" si="4"/>
        <v>1995</v>
      </c>
      <c r="M9" t="str">
        <f t="shared" si="4"/>
        <v>9999</v>
      </c>
      <c r="N9">
        <f t="shared" si="5"/>
        <v>186</v>
      </c>
      <c r="O9">
        <f t="shared" si="5"/>
        <v>220</v>
      </c>
      <c r="P9">
        <f t="shared" si="5"/>
        <v>242</v>
      </c>
      <c r="Q9">
        <f t="shared" si="5"/>
        <v>414</v>
      </c>
      <c r="R9">
        <f t="shared" si="5"/>
        <v>418</v>
      </c>
      <c r="S9">
        <f t="shared" si="5"/>
        <v>564</v>
      </c>
      <c r="T9">
        <f t="shared" si="5"/>
        <v>867</v>
      </c>
      <c r="U9">
        <f t="shared" si="5"/>
        <v>833</v>
      </c>
      <c r="V9">
        <f t="shared" si="5"/>
        <v>978</v>
      </c>
      <c r="W9">
        <f t="shared" si="5"/>
        <v>1093</v>
      </c>
      <c r="X9">
        <f t="shared" si="6"/>
        <v>1299</v>
      </c>
      <c r="Y9">
        <f t="shared" si="6"/>
        <v>1575</v>
      </c>
      <c r="Z9">
        <f t="shared" si="6"/>
        <v>1707</v>
      </c>
      <c r="AA9">
        <f t="shared" si="6"/>
        <v>1680</v>
      </c>
      <c r="AB9">
        <f t="shared" si="6"/>
        <v>1591</v>
      </c>
      <c r="AC9">
        <f t="shared" si="6"/>
        <v>1544</v>
      </c>
      <c r="AD9">
        <f t="shared" si="6"/>
        <v>1848</v>
      </c>
      <c r="AE9">
        <f t="shared" si="6"/>
        <v>1720</v>
      </c>
      <c r="AF9">
        <f t="shared" si="6"/>
        <v>1574</v>
      </c>
      <c r="AG9">
        <f t="shared" si="6"/>
        <v>1998</v>
      </c>
      <c r="AH9">
        <f t="shared" si="6"/>
        <v>2146</v>
      </c>
      <c r="AI9">
        <f t="shared" si="6"/>
        <v>2119</v>
      </c>
      <c r="AJ9">
        <f t="shared" si="6"/>
        <v>2349</v>
      </c>
      <c r="AK9">
        <f t="shared" si="6"/>
        <v>2476</v>
      </c>
      <c r="AL9">
        <f t="shared" si="6"/>
        <v>2604</v>
      </c>
      <c r="AM9">
        <f t="shared" si="6"/>
        <v>2375</v>
      </c>
      <c r="AN9">
        <f t="shared" si="6"/>
        <v>2633</v>
      </c>
      <c r="AO9">
        <f t="shared" si="6"/>
        <v>2983</v>
      </c>
      <c r="AP9">
        <f t="shared" si="6"/>
        <v>3155</v>
      </c>
      <c r="AQ9">
        <f t="shared" si="6"/>
        <v>3785</v>
      </c>
      <c r="AR9">
        <f t="shared" si="6"/>
        <v>3601</v>
      </c>
    </row>
    <row r="10" spans="1:44" x14ac:dyDescent="0.25">
      <c r="A10">
        <f t="shared" si="7"/>
        <v>22238</v>
      </c>
      <c r="B10" t="str">
        <f>Export!A9</f>
        <v>019</v>
      </c>
      <c r="C10" t="str">
        <f>Export!B9</f>
        <v>Privatreisen</v>
      </c>
      <c r="E10">
        <f t="shared" si="8"/>
        <v>13906</v>
      </c>
      <c r="F10" t="str">
        <f>Import!A9</f>
        <v>019</v>
      </c>
      <c r="G10" t="str">
        <f>Import!B9</f>
        <v>Privatreisen</v>
      </c>
      <c r="I10">
        <v>8</v>
      </c>
      <c r="J10" t="str">
        <f t="shared" si="2"/>
        <v>Transporthilfsleistungen</v>
      </c>
      <c r="K10">
        <f t="shared" si="3"/>
        <v>3014</v>
      </c>
      <c r="L10" t="str">
        <f t="shared" si="4"/>
        <v>1995</v>
      </c>
      <c r="M10" t="str">
        <f t="shared" si="4"/>
        <v>9999</v>
      </c>
      <c r="N10">
        <f t="shared" si="5"/>
        <v>275</v>
      </c>
      <c r="O10">
        <f t="shared" si="5"/>
        <v>430</v>
      </c>
      <c r="P10">
        <f t="shared" si="5"/>
        <v>490</v>
      </c>
      <c r="Q10">
        <f t="shared" si="5"/>
        <v>430</v>
      </c>
      <c r="R10">
        <f t="shared" si="5"/>
        <v>382</v>
      </c>
      <c r="S10">
        <f t="shared" si="5"/>
        <v>435</v>
      </c>
      <c r="T10">
        <f t="shared" si="5"/>
        <v>478</v>
      </c>
      <c r="U10">
        <f t="shared" si="5"/>
        <v>531</v>
      </c>
      <c r="V10">
        <f t="shared" si="5"/>
        <v>594</v>
      </c>
      <c r="W10">
        <f t="shared" si="5"/>
        <v>633</v>
      </c>
      <c r="X10">
        <f t="shared" si="6"/>
        <v>721</v>
      </c>
      <c r="Y10">
        <f t="shared" si="6"/>
        <v>848</v>
      </c>
      <c r="Z10">
        <f t="shared" si="6"/>
        <v>912</v>
      </c>
      <c r="AA10">
        <f t="shared" si="6"/>
        <v>958</v>
      </c>
      <c r="AB10">
        <f t="shared" si="6"/>
        <v>885</v>
      </c>
      <c r="AC10">
        <f t="shared" si="6"/>
        <v>957</v>
      </c>
      <c r="AD10">
        <f t="shared" si="6"/>
        <v>1074</v>
      </c>
      <c r="AE10">
        <f t="shared" si="6"/>
        <v>1206</v>
      </c>
      <c r="AF10">
        <f t="shared" si="6"/>
        <v>1324</v>
      </c>
      <c r="AG10">
        <f t="shared" si="6"/>
        <v>1481</v>
      </c>
      <c r="AH10">
        <f t="shared" si="6"/>
        <v>1417</v>
      </c>
      <c r="AI10">
        <f t="shared" si="6"/>
        <v>1480</v>
      </c>
      <c r="AJ10">
        <f t="shared" si="6"/>
        <v>1599</v>
      </c>
      <c r="AK10">
        <f t="shared" si="6"/>
        <v>1744</v>
      </c>
      <c r="AL10">
        <f t="shared" si="6"/>
        <v>1856</v>
      </c>
      <c r="AM10">
        <f t="shared" si="6"/>
        <v>1490</v>
      </c>
      <c r="AN10">
        <f t="shared" si="6"/>
        <v>1735</v>
      </c>
      <c r="AO10">
        <f t="shared" si="6"/>
        <v>2184</v>
      </c>
      <c r="AP10">
        <f t="shared" si="6"/>
        <v>2371</v>
      </c>
      <c r="AQ10">
        <f t="shared" si="6"/>
        <v>2644</v>
      </c>
      <c r="AR10">
        <f t="shared" si="6"/>
        <v>3014</v>
      </c>
    </row>
    <row r="11" spans="1:44" x14ac:dyDescent="0.25">
      <c r="A11">
        <f t="shared" si="7"/>
        <v>1513</v>
      </c>
      <c r="B11" t="str">
        <f>Export!A10</f>
        <v>024</v>
      </c>
      <c r="C11" t="str">
        <f>Export!B10</f>
        <v>Bauleistungen im Ausland</v>
      </c>
      <c r="E11">
        <f t="shared" si="8"/>
        <v>782</v>
      </c>
      <c r="F11" t="str">
        <f>Import!A10</f>
        <v>024</v>
      </c>
      <c r="G11" t="str">
        <f>Import!B10</f>
        <v>Bauleistungen im Ausland</v>
      </c>
      <c r="I11">
        <v>9</v>
      </c>
      <c r="J11" t="str">
        <f t="shared" si="2"/>
        <v>Internationaler Personentransport</v>
      </c>
      <c r="K11">
        <f t="shared" si="3"/>
        <v>2647</v>
      </c>
      <c r="L11" t="str">
        <f t="shared" si="4"/>
        <v>1995</v>
      </c>
      <c r="M11" t="str">
        <f t="shared" si="4"/>
        <v>9999</v>
      </c>
      <c r="N11">
        <f t="shared" si="5"/>
        <v>804</v>
      </c>
      <c r="O11">
        <f t="shared" si="5"/>
        <v>882</v>
      </c>
      <c r="P11">
        <f t="shared" si="5"/>
        <v>1119</v>
      </c>
      <c r="Q11">
        <f t="shared" si="5"/>
        <v>1299</v>
      </c>
      <c r="R11">
        <f t="shared" si="5"/>
        <v>1417</v>
      </c>
      <c r="S11">
        <f t="shared" si="5"/>
        <v>1608</v>
      </c>
      <c r="T11">
        <f t="shared" si="5"/>
        <v>1745</v>
      </c>
      <c r="U11">
        <f t="shared" si="5"/>
        <v>1620</v>
      </c>
      <c r="V11">
        <f t="shared" si="5"/>
        <v>1612</v>
      </c>
      <c r="W11">
        <f t="shared" si="5"/>
        <v>1695</v>
      </c>
      <c r="X11">
        <f t="shared" si="6"/>
        <v>1796</v>
      </c>
      <c r="Y11">
        <f t="shared" si="6"/>
        <v>1889</v>
      </c>
      <c r="Z11">
        <f t="shared" si="6"/>
        <v>1845</v>
      </c>
      <c r="AA11">
        <f t="shared" si="6"/>
        <v>1835</v>
      </c>
      <c r="AB11">
        <f t="shared" si="6"/>
        <v>1478</v>
      </c>
      <c r="AC11">
        <f t="shared" si="6"/>
        <v>1677</v>
      </c>
      <c r="AD11">
        <f t="shared" si="6"/>
        <v>1919</v>
      </c>
      <c r="AE11">
        <f t="shared" si="6"/>
        <v>1955</v>
      </c>
      <c r="AF11">
        <f t="shared" si="6"/>
        <v>1889</v>
      </c>
      <c r="AG11">
        <f t="shared" si="6"/>
        <v>1771</v>
      </c>
      <c r="AH11">
        <f t="shared" si="6"/>
        <v>1920</v>
      </c>
      <c r="AI11">
        <f t="shared" si="6"/>
        <v>1553</v>
      </c>
      <c r="AJ11">
        <f t="shared" si="6"/>
        <v>1843</v>
      </c>
      <c r="AK11">
        <f t="shared" si="6"/>
        <v>1849</v>
      </c>
      <c r="AL11">
        <f t="shared" si="6"/>
        <v>2636</v>
      </c>
      <c r="AM11">
        <f t="shared" si="6"/>
        <v>1312</v>
      </c>
      <c r="AN11">
        <f t="shared" si="6"/>
        <v>1332</v>
      </c>
      <c r="AO11">
        <f t="shared" si="6"/>
        <v>2302</v>
      </c>
      <c r="AP11">
        <f t="shared" si="6"/>
        <v>2528</v>
      </c>
      <c r="AQ11">
        <f t="shared" si="6"/>
        <v>2732</v>
      </c>
      <c r="AR11">
        <f t="shared" si="6"/>
        <v>2647</v>
      </c>
    </row>
    <row r="12" spans="1:44" x14ac:dyDescent="0.25">
      <c r="A12">
        <f t="shared" si="7"/>
        <v>24</v>
      </c>
      <c r="B12" t="str">
        <f>Export!A11</f>
        <v>025</v>
      </c>
      <c r="C12" t="str">
        <f>Export!B11</f>
        <v>Bauleistungen im Inland</v>
      </c>
      <c r="E12">
        <f t="shared" si="8"/>
        <v>424</v>
      </c>
      <c r="F12" t="str">
        <f>Import!A11</f>
        <v>025</v>
      </c>
      <c r="G12" t="str">
        <f>Import!B11</f>
        <v>Bauleistungen im Inland</v>
      </c>
      <c r="I12">
        <v>10</v>
      </c>
      <c r="J12" t="str">
        <f t="shared" si="2"/>
        <v>Gebühren für Lohnveredelung</v>
      </c>
      <c r="K12">
        <f t="shared" si="3"/>
        <v>2337</v>
      </c>
      <c r="L12" t="str">
        <f t="shared" si="4"/>
        <v>1995</v>
      </c>
      <c r="M12" t="str">
        <f t="shared" si="4"/>
        <v>9999</v>
      </c>
      <c r="N12">
        <f t="shared" si="5"/>
        <v>438</v>
      </c>
      <c r="O12">
        <f t="shared" si="5"/>
        <v>388</v>
      </c>
      <c r="P12">
        <f t="shared" si="5"/>
        <v>156</v>
      </c>
      <c r="Q12">
        <f t="shared" si="5"/>
        <v>197</v>
      </c>
      <c r="R12">
        <f t="shared" si="5"/>
        <v>188</v>
      </c>
      <c r="S12">
        <f t="shared" si="5"/>
        <v>117</v>
      </c>
      <c r="T12">
        <f t="shared" si="5"/>
        <v>175</v>
      </c>
      <c r="U12">
        <f t="shared" si="5"/>
        <v>416</v>
      </c>
      <c r="V12">
        <f t="shared" si="5"/>
        <v>401</v>
      </c>
      <c r="W12">
        <f t="shared" si="5"/>
        <v>536</v>
      </c>
      <c r="X12">
        <f t="shared" si="6"/>
        <v>506</v>
      </c>
      <c r="Y12">
        <f t="shared" si="6"/>
        <v>609</v>
      </c>
      <c r="Z12">
        <f t="shared" si="6"/>
        <v>606</v>
      </c>
      <c r="AA12">
        <f t="shared" si="6"/>
        <v>675</v>
      </c>
      <c r="AB12">
        <f t="shared" si="6"/>
        <v>727</v>
      </c>
      <c r="AC12">
        <f t="shared" si="6"/>
        <v>389</v>
      </c>
      <c r="AD12">
        <f t="shared" si="6"/>
        <v>471</v>
      </c>
      <c r="AE12">
        <f t="shared" si="6"/>
        <v>255</v>
      </c>
      <c r="AF12">
        <f t="shared" si="6"/>
        <v>1469</v>
      </c>
      <c r="AG12">
        <f t="shared" si="6"/>
        <v>1568</v>
      </c>
      <c r="AH12">
        <f t="shared" si="6"/>
        <v>1460</v>
      </c>
      <c r="AI12">
        <f t="shared" si="6"/>
        <v>1576</v>
      </c>
      <c r="AJ12">
        <f t="shared" si="6"/>
        <v>1525</v>
      </c>
      <c r="AK12">
        <f t="shared" si="6"/>
        <v>1557</v>
      </c>
      <c r="AL12">
        <f t="shared" si="6"/>
        <v>1595</v>
      </c>
      <c r="AM12">
        <f t="shared" si="6"/>
        <v>1609</v>
      </c>
      <c r="AN12">
        <f t="shared" si="6"/>
        <v>1903</v>
      </c>
      <c r="AO12">
        <f t="shared" si="6"/>
        <v>2078</v>
      </c>
      <c r="AP12">
        <f t="shared" si="6"/>
        <v>2493</v>
      </c>
      <c r="AQ12">
        <f t="shared" si="6"/>
        <v>2359</v>
      </c>
      <c r="AR12">
        <f t="shared" si="6"/>
        <v>2337</v>
      </c>
    </row>
    <row r="13" spans="1:44" x14ac:dyDescent="0.25">
      <c r="A13">
        <f t="shared" si="7"/>
        <v>331</v>
      </c>
      <c r="B13" t="str">
        <f>Export!A12</f>
        <v>027</v>
      </c>
      <c r="C13" t="str">
        <f>Export!B12</f>
        <v>Direktversicherungen</v>
      </c>
      <c r="E13">
        <f t="shared" si="8"/>
        <v>259</v>
      </c>
      <c r="F13" t="str">
        <f>Import!A12</f>
        <v>027</v>
      </c>
      <c r="G13" t="str">
        <f>Import!B12</f>
        <v>Direktversicherungen</v>
      </c>
    </row>
    <row r="14" spans="1:44" x14ac:dyDescent="0.25">
      <c r="A14">
        <f t="shared" si="7"/>
        <v>785</v>
      </c>
      <c r="B14" t="str">
        <f>Export!A13</f>
        <v>031</v>
      </c>
      <c r="C14" t="str">
        <f>Export!B13</f>
        <v>Rückversicherung</v>
      </c>
      <c r="E14">
        <f t="shared" si="8"/>
        <v>1600</v>
      </c>
      <c r="F14" t="str">
        <f>Import!A13</f>
        <v>031</v>
      </c>
      <c r="G14" t="str">
        <f>Import!B13</f>
        <v>Rückversicherung</v>
      </c>
      <c r="I14">
        <f>IF(LEFT(Kürzel_Außenhandelspartner,1)="K","",IF(Außenhandelspartner="Dienstleistungen","",_xlfn.RANK.EQ($K$14,Export_Ranking)))</f>
        <v>1</v>
      </c>
      <c r="J14" t="str">
        <f>Außenhandelspartner</f>
        <v>Privatreisen</v>
      </c>
      <c r="K14">
        <f>VLOOKUP(Außenhandelspartner,Export_Matrix,$A$1,FALSE)/Einheit_Wert</f>
        <v>22238</v>
      </c>
      <c r="L14" t="str">
        <f>VLOOKUP($J14,Export_Matrix,L$1,FALSE)</f>
        <v>1995</v>
      </c>
      <c r="M14" t="str">
        <f>VLOOKUP($J14,Export_Matrix,M$1,FALSE)</f>
        <v>9999</v>
      </c>
      <c r="N14">
        <f t="shared" ref="N14:AR14" si="9">VLOOKUP($J14,Export_Matrix,N$1,FALSE)/Einheit_Wert</f>
        <v>8337</v>
      </c>
      <c r="O14">
        <f t="shared" si="9"/>
        <v>8286</v>
      </c>
      <c r="P14">
        <f t="shared" si="9"/>
        <v>8156</v>
      </c>
      <c r="Q14">
        <f t="shared" si="9"/>
        <v>8068</v>
      </c>
      <c r="R14">
        <f t="shared" si="9"/>
        <v>8463</v>
      </c>
      <c r="S14">
        <f t="shared" si="9"/>
        <v>8875</v>
      </c>
      <c r="T14">
        <f t="shared" si="9"/>
        <v>9290</v>
      </c>
      <c r="U14">
        <f t="shared" si="9"/>
        <v>9752</v>
      </c>
      <c r="V14">
        <f t="shared" si="9"/>
        <v>10051</v>
      </c>
      <c r="W14">
        <f t="shared" si="9"/>
        <v>10213</v>
      </c>
      <c r="X14">
        <f t="shared" si="9"/>
        <v>10590</v>
      </c>
      <c r="Y14">
        <f t="shared" si="9"/>
        <v>10822</v>
      </c>
      <c r="Z14">
        <f t="shared" si="9"/>
        <v>11003</v>
      </c>
      <c r="AA14">
        <f t="shared" si="9"/>
        <v>12107</v>
      </c>
      <c r="AB14">
        <f t="shared" si="9"/>
        <v>11727</v>
      </c>
      <c r="AC14">
        <f t="shared" si="9"/>
        <v>11875</v>
      </c>
      <c r="AD14">
        <f t="shared" si="9"/>
        <v>12147</v>
      </c>
      <c r="AE14">
        <f t="shared" si="9"/>
        <v>12508</v>
      </c>
      <c r="AF14">
        <f t="shared" si="9"/>
        <v>12939</v>
      </c>
      <c r="AG14">
        <f t="shared" si="9"/>
        <v>13371</v>
      </c>
      <c r="AH14">
        <f t="shared" si="9"/>
        <v>14139</v>
      </c>
      <c r="AI14">
        <f t="shared" si="9"/>
        <v>14967</v>
      </c>
      <c r="AJ14">
        <f t="shared" si="9"/>
        <v>15672</v>
      </c>
      <c r="AK14">
        <f t="shared" si="9"/>
        <v>16868</v>
      </c>
      <c r="AL14">
        <f t="shared" si="9"/>
        <v>17554</v>
      </c>
      <c r="AM14">
        <f t="shared" si="9"/>
        <v>10292</v>
      </c>
      <c r="AN14">
        <f t="shared" si="9"/>
        <v>7077</v>
      </c>
      <c r="AO14">
        <f t="shared" si="9"/>
        <v>16208</v>
      </c>
      <c r="AP14">
        <f t="shared" si="9"/>
        <v>19570</v>
      </c>
      <c r="AQ14">
        <f t="shared" si="9"/>
        <v>20804</v>
      </c>
      <c r="AR14">
        <f t="shared" si="9"/>
        <v>22238</v>
      </c>
    </row>
    <row r="15" spans="1:44" x14ac:dyDescent="0.25">
      <c r="A15">
        <f t="shared" si="7"/>
        <v>38</v>
      </c>
      <c r="B15" t="str">
        <f>Export!A14</f>
        <v>032</v>
      </c>
      <c r="C15" t="str">
        <f>Export!B14</f>
        <v>Versicherungshilfsdienste</v>
      </c>
      <c r="E15">
        <f t="shared" si="8"/>
        <v>50</v>
      </c>
      <c r="F15" t="str">
        <f>Import!A14</f>
        <v>032</v>
      </c>
      <c r="G15" t="str">
        <f>Import!B14</f>
        <v>Versicherungshilfsdienste</v>
      </c>
    </row>
    <row r="16" spans="1:44" x14ac:dyDescent="0.25">
      <c r="A16">
        <f t="shared" si="7"/>
        <v>1284</v>
      </c>
      <c r="B16" t="str">
        <f>Export!A15</f>
        <v>034</v>
      </c>
      <c r="C16" t="str">
        <f>Export!B15</f>
        <v>Finanzdienstleistungen im engeren Sinn</v>
      </c>
      <c r="E16">
        <f t="shared" si="8"/>
        <v>879</v>
      </c>
      <c r="F16" t="str">
        <f>Import!A15</f>
        <v>034</v>
      </c>
      <c r="G16" t="str">
        <f>Import!B15</f>
        <v>Finanzdienstleistungen im engeren Sinn</v>
      </c>
    </row>
    <row r="17" spans="1:44" x14ac:dyDescent="0.25">
      <c r="A17">
        <f t="shared" si="7"/>
        <v>1309</v>
      </c>
      <c r="B17" t="str">
        <f>Export!A16</f>
        <v>035</v>
      </c>
      <c r="C17" t="str">
        <f>Export!B16</f>
        <v>unterstellte Bankgebühr (FISIM)</v>
      </c>
      <c r="E17">
        <f t="shared" si="8"/>
        <v>927</v>
      </c>
      <c r="F17" t="str">
        <f>Import!A16</f>
        <v>035</v>
      </c>
      <c r="G17" t="str">
        <f>Import!B16</f>
        <v>unterstellte Bankgebühr (FISIM)</v>
      </c>
      <c r="J17" t="s">
        <v>42</v>
      </c>
      <c r="K17">
        <f>Auswahl_Jahr</f>
        <v>2025</v>
      </c>
      <c r="L17" t="s">
        <v>53</v>
      </c>
      <c r="M17" t="s">
        <v>54</v>
      </c>
      <c r="N17">
        <f>VALUE(Tabelle_Abfrage_von_MS_Access_Database[[#Headers],[1995]])</f>
        <v>1995</v>
      </c>
      <c r="O17">
        <f>VALUE(Tabelle_Abfrage_von_MS_Access_Database[[#Headers],[1996]])</f>
        <v>1996</v>
      </c>
      <c r="P17">
        <f>VALUE(Tabelle_Abfrage_von_MS_Access_Database[[#Headers],[1997]])</f>
        <v>1997</v>
      </c>
      <c r="Q17">
        <f>VALUE(Tabelle_Abfrage_von_MS_Access_Database[[#Headers],[1998]])</f>
        <v>1998</v>
      </c>
      <c r="R17">
        <f>VALUE(Tabelle_Abfrage_von_MS_Access_Database[[#Headers],[1999]])</f>
        <v>1999</v>
      </c>
      <c r="S17">
        <f>VALUE(Tabelle_Abfrage_von_MS_Access_Database[[#Headers],[2000]])</f>
        <v>2000</v>
      </c>
      <c r="T17">
        <f>VALUE(Tabelle_Abfrage_von_MS_Access_Database[[#Headers],[2001]])</f>
        <v>2001</v>
      </c>
      <c r="U17">
        <f>VALUE(Tabelle_Abfrage_von_MS_Access_Database[[#Headers],[2002]])</f>
        <v>2002</v>
      </c>
      <c r="V17">
        <f>VALUE(Tabelle_Abfrage_von_MS_Access_Database[[#Headers],[2003]])</f>
        <v>2003</v>
      </c>
      <c r="W17">
        <f>VALUE(Tabelle_Abfrage_von_MS_Access_Database[[#Headers],[2004]])</f>
        <v>2004</v>
      </c>
      <c r="X17">
        <f>VALUE(Tabelle_Abfrage_von_MS_Access_Database[[#Headers],[2005]])</f>
        <v>2005</v>
      </c>
      <c r="Y17">
        <f>VALUE(Tabelle_Abfrage_von_MS_Access_Database[[#Headers],[2006]])</f>
        <v>2006</v>
      </c>
      <c r="Z17">
        <f>VALUE(Tabelle_Abfrage_von_MS_Access_Database[[#Headers],[2007]])</f>
        <v>2007</v>
      </c>
      <c r="AA17">
        <f>VALUE(Tabelle_Abfrage_von_MS_Access_Database[[#Headers],[2008]])</f>
        <v>2008</v>
      </c>
      <c r="AB17">
        <f>VALUE(Tabelle_Abfrage_von_MS_Access_Database[[#Headers],[2009]])</f>
        <v>2009</v>
      </c>
      <c r="AC17">
        <f>VALUE(Tabelle_Abfrage_von_MS_Access_Database[[#Headers],[2010]])</f>
        <v>2010</v>
      </c>
      <c r="AD17">
        <f>VALUE(Tabelle_Abfrage_von_MS_Access_Database[[#Headers],[2011]])</f>
        <v>2011</v>
      </c>
      <c r="AE17">
        <f>VALUE(Tabelle_Abfrage_von_MS_Access_Database[[#Headers],[2012]])</f>
        <v>2012</v>
      </c>
      <c r="AF17">
        <f>VALUE(Tabelle_Abfrage_von_MS_Access_Database[[#Headers],[2013]])</f>
        <v>2013</v>
      </c>
      <c r="AG17">
        <f>VALUE(Tabelle_Abfrage_von_MS_Access_Database[[#Headers],[2014]])</f>
        <v>2014</v>
      </c>
      <c r="AH17">
        <f>VALUE(Tabelle_Abfrage_von_MS_Access_Database[[#Headers],[2015]])</f>
        <v>2015</v>
      </c>
      <c r="AI17">
        <f>VALUE(Tabelle_Abfrage_von_MS_Access_Database[[#Headers],[2016]])</f>
        <v>2016</v>
      </c>
      <c r="AJ17">
        <f>VALUE(Tabelle_Abfrage_von_MS_Access_Database[[#Headers],[2017]])</f>
        <v>2017</v>
      </c>
      <c r="AK17">
        <f>VALUE(Tabelle_Abfrage_von_MS_Access_Database[[#Headers],[2018]])</f>
        <v>2018</v>
      </c>
      <c r="AL17">
        <f>VALUE(Tabelle_Abfrage_von_MS_Access_Database[[#Headers],[2019]])</f>
        <v>2019</v>
      </c>
      <c r="AM17">
        <f>VALUE(Tabelle_Abfrage_von_MS_Access_Database[[#Headers],[2020]])</f>
        <v>2020</v>
      </c>
      <c r="AN17">
        <f>VALUE(Tabelle_Abfrage_von_MS_Access_Database[[#Headers],[2021]])</f>
        <v>2021</v>
      </c>
      <c r="AO17">
        <f>VALUE(Tabelle_Abfrage_von_MS_Access_Database[[#Headers],[2022]])</f>
        <v>2022</v>
      </c>
      <c r="AP17">
        <f>VALUE(Tabelle_Abfrage_von_MS_Access_Database[[#Headers],[2023]])</f>
        <v>2023</v>
      </c>
      <c r="AQ17">
        <f>VALUE(Tabelle_Abfrage_von_MS_Access_Database[[#Headers],[2024]])</f>
        <v>2024</v>
      </c>
      <c r="AR17">
        <f>VALUE(Tabelle_Abfrage_von_MS_Access_Database[[#Headers],[2025]])</f>
        <v>2025</v>
      </c>
    </row>
    <row r="18" spans="1:44" x14ac:dyDescent="0.25">
      <c r="A18">
        <f t="shared" si="7"/>
        <v>2040</v>
      </c>
      <c r="B18" t="str">
        <f>Export!A17</f>
        <v>036</v>
      </c>
      <c r="C18" t="str">
        <f>Export!B17</f>
        <v>Patente, Lizenzen, Franchisen</v>
      </c>
      <c r="E18">
        <f t="shared" si="8"/>
        <v>2314</v>
      </c>
      <c r="F18" t="str">
        <f>Import!A17</f>
        <v>036</v>
      </c>
      <c r="G18" t="str">
        <f>Import!B17</f>
        <v>Patente, Lizenzen, Franchisen</v>
      </c>
      <c r="I18">
        <v>1</v>
      </c>
      <c r="J18" t="str">
        <f t="shared" ref="J18:J27" si="10">VLOOKUP(K18,$E$3:$G$31,3,FALSE)</f>
        <v>Frachten</v>
      </c>
      <c r="K18">
        <f t="shared" ref="K18:K27" si="11">LARGE(Import_Ranking,I18)</f>
        <v>16581</v>
      </c>
      <c r="L18" t="str">
        <f t="shared" ref="L18:M27" si="12">VLOOKUP($J18,Import_Matrix,L$1,FALSE)</f>
        <v>1995</v>
      </c>
      <c r="M18" t="str">
        <f t="shared" si="12"/>
        <v>9999</v>
      </c>
      <c r="N18">
        <f t="shared" ref="N18:W27" si="13">VLOOKUP($J18,Import_Matrix,N$1,FALSE)/Einheit_Wert</f>
        <v>2227</v>
      </c>
      <c r="O18">
        <f t="shared" si="13"/>
        <v>2303</v>
      </c>
      <c r="P18">
        <f t="shared" si="13"/>
        <v>2395</v>
      </c>
      <c r="Q18">
        <f t="shared" si="13"/>
        <v>2455</v>
      </c>
      <c r="R18">
        <f t="shared" si="13"/>
        <v>2340</v>
      </c>
      <c r="S18">
        <f t="shared" si="13"/>
        <v>2826</v>
      </c>
      <c r="T18">
        <f t="shared" si="13"/>
        <v>3213</v>
      </c>
      <c r="U18">
        <f t="shared" si="13"/>
        <v>3329</v>
      </c>
      <c r="V18">
        <f t="shared" si="13"/>
        <v>3511</v>
      </c>
      <c r="W18">
        <f t="shared" si="13"/>
        <v>4336</v>
      </c>
      <c r="X18">
        <f t="shared" ref="X18:AR27" si="14">VLOOKUP($J18,Import_Matrix,X$1,FALSE)/Einheit_Wert</f>
        <v>5017</v>
      </c>
      <c r="Y18">
        <f t="shared" si="14"/>
        <v>5740</v>
      </c>
      <c r="Z18">
        <f t="shared" si="14"/>
        <v>6553</v>
      </c>
      <c r="AA18">
        <f t="shared" si="14"/>
        <v>6888</v>
      </c>
      <c r="AB18">
        <f t="shared" si="14"/>
        <v>5652</v>
      </c>
      <c r="AC18">
        <f t="shared" si="14"/>
        <v>6870</v>
      </c>
      <c r="AD18">
        <f t="shared" si="14"/>
        <v>7877</v>
      </c>
      <c r="AE18">
        <f t="shared" si="14"/>
        <v>8163</v>
      </c>
      <c r="AF18">
        <f t="shared" si="14"/>
        <v>8988</v>
      </c>
      <c r="AG18">
        <f t="shared" si="14"/>
        <v>9737</v>
      </c>
      <c r="AH18">
        <f t="shared" si="14"/>
        <v>10170</v>
      </c>
      <c r="AI18">
        <f t="shared" si="14"/>
        <v>10548</v>
      </c>
      <c r="AJ18">
        <f t="shared" si="14"/>
        <v>11489</v>
      </c>
      <c r="AK18">
        <f t="shared" si="14"/>
        <v>12271</v>
      </c>
      <c r="AL18">
        <f t="shared" si="14"/>
        <v>12888</v>
      </c>
      <c r="AM18">
        <f t="shared" si="14"/>
        <v>12666</v>
      </c>
      <c r="AN18">
        <f t="shared" si="14"/>
        <v>14808</v>
      </c>
      <c r="AO18">
        <f t="shared" si="14"/>
        <v>18003</v>
      </c>
      <c r="AP18">
        <f t="shared" si="14"/>
        <v>16138</v>
      </c>
      <c r="AQ18">
        <f t="shared" si="14"/>
        <v>16575</v>
      </c>
      <c r="AR18">
        <f t="shared" si="14"/>
        <v>16581</v>
      </c>
    </row>
    <row r="19" spans="1:44" x14ac:dyDescent="0.25">
      <c r="A19">
        <f t="shared" si="7"/>
        <v>654</v>
      </c>
      <c r="B19" t="str">
        <f>Export!A18</f>
        <v>043</v>
      </c>
      <c r="C19" t="str">
        <f>Export!B18</f>
        <v>Telekommunikation</v>
      </c>
      <c r="E19">
        <f t="shared" si="8"/>
        <v>664</v>
      </c>
      <c r="F19" t="str">
        <f>Import!A18</f>
        <v>043</v>
      </c>
      <c r="G19" t="str">
        <f>Import!B18</f>
        <v>Telekommunikation</v>
      </c>
      <c r="I19">
        <v>2</v>
      </c>
      <c r="J19" t="str">
        <f t="shared" si="10"/>
        <v>Privatreisen</v>
      </c>
      <c r="K19">
        <f t="shared" si="11"/>
        <v>13906</v>
      </c>
      <c r="L19" t="str">
        <f t="shared" si="12"/>
        <v>1995</v>
      </c>
      <c r="M19" t="str">
        <f t="shared" si="12"/>
        <v>9999</v>
      </c>
      <c r="N19">
        <f t="shared" si="13"/>
        <v>4544</v>
      </c>
      <c r="O19">
        <f t="shared" si="13"/>
        <v>4850</v>
      </c>
      <c r="P19">
        <f t="shared" si="13"/>
        <v>5088</v>
      </c>
      <c r="Q19">
        <f t="shared" si="13"/>
        <v>4879</v>
      </c>
      <c r="R19">
        <f t="shared" si="13"/>
        <v>4958</v>
      </c>
      <c r="S19">
        <f t="shared" si="13"/>
        <v>5263</v>
      </c>
      <c r="T19">
        <f t="shared" si="13"/>
        <v>5690</v>
      </c>
      <c r="U19">
        <f t="shared" si="13"/>
        <v>5644</v>
      </c>
      <c r="V19">
        <f t="shared" si="13"/>
        <v>6011</v>
      </c>
      <c r="W19">
        <f t="shared" si="13"/>
        <v>5843</v>
      </c>
      <c r="X19">
        <f t="shared" si="14"/>
        <v>5942</v>
      </c>
      <c r="Y19">
        <f t="shared" si="14"/>
        <v>6077</v>
      </c>
      <c r="Z19">
        <f t="shared" si="14"/>
        <v>6057</v>
      </c>
      <c r="AA19">
        <f t="shared" si="14"/>
        <v>6128</v>
      </c>
      <c r="AB19">
        <f t="shared" si="14"/>
        <v>6452</v>
      </c>
      <c r="AC19">
        <f t="shared" si="14"/>
        <v>6416</v>
      </c>
      <c r="AD19">
        <f t="shared" si="14"/>
        <v>6177</v>
      </c>
      <c r="AE19">
        <f t="shared" si="14"/>
        <v>6454</v>
      </c>
      <c r="AF19">
        <f t="shared" si="14"/>
        <v>6511</v>
      </c>
      <c r="AG19">
        <f t="shared" si="14"/>
        <v>6872</v>
      </c>
      <c r="AH19">
        <f t="shared" si="14"/>
        <v>6936</v>
      </c>
      <c r="AI19">
        <f t="shared" si="14"/>
        <v>7329</v>
      </c>
      <c r="AJ19">
        <f t="shared" si="14"/>
        <v>7987</v>
      </c>
      <c r="AK19">
        <f t="shared" si="14"/>
        <v>8591</v>
      </c>
      <c r="AL19">
        <f t="shared" si="14"/>
        <v>8780</v>
      </c>
      <c r="AM19">
        <f t="shared" si="14"/>
        <v>3038</v>
      </c>
      <c r="AN19">
        <f t="shared" si="14"/>
        <v>5249</v>
      </c>
      <c r="AO19">
        <f t="shared" si="14"/>
        <v>10225</v>
      </c>
      <c r="AP19">
        <f t="shared" si="14"/>
        <v>12082</v>
      </c>
      <c r="AQ19">
        <f t="shared" si="14"/>
        <v>13264</v>
      </c>
      <c r="AR19">
        <f t="shared" si="14"/>
        <v>13906</v>
      </c>
    </row>
    <row r="20" spans="1:44" x14ac:dyDescent="0.25">
      <c r="A20">
        <f t="shared" si="7"/>
        <v>10783</v>
      </c>
      <c r="B20" t="str">
        <f>Export!A19</f>
        <v>044</v>
      </c>
      <c r="C20" t="str">
        <f>Export!B19</f>
        <v>EDV-Dienstleistungen</v>
      </c>
      <c r="E20">
        <f t="shared" si="8"/>
        <v>10584</v>
      </c>
      <c r="F20" t="str">
        <f>Import!A19</f>
        <v>044</v>
      </c>
      <c r="G20" t="str">
        <f>Import!B19</f>
        <v>EDV-Dienstleistungen</v>
      </c>
      <c r="I20">
        <v>3</v>
      </c>
      <c r="J20" t="str">
        <f t="shared" si="10"/>
        <v>Technische, Handels- und sonstige unternehmensbezogene Dienstleistungen</v>
      </c>
      <c r="K20">
        <f t="shared" si="11"/>
        <v>13261</v>
      </c>
      <c r="L20" t="str">
        <f t="shared" si="12"/>
        <v>1995</v>
      </c>
      <c r="M20" t="str">
        <f t="shared" si="12"/>
        <v>9999</v>
      </c>
      <c r="N20">
        <f t="shared" si="13"/>
        <v>1554</v>
      </c>
      <c r="O20">
        <f t="shared" si="13"/>
        <v>1704</v>
      </c>
      <c r="P20">
        <f t="shared" si="13"/>
        <v>1752</v>
      </c>
      <c r="Q20">
        <f t="shared" si="13"/>
        <v>1794</v>
      </c>
      <c r="R20">
        <f t="shared" si="13"/>
        <v>1780</v>
      </c>
      <c r="S20">
        <f t="shared" si="13"/>
        <v>1970</v>
      </c>
      <c r="T20">
        <f t="shared" si="13"/>
        <v>2046</v>
      </c>
      <c r="U20">
        <f t="shared" si="13"/>
        <v>2014</v>
      </c>
      <c r="V20">
        <f t="shared" si="13"/>
        <v>2036</v>
      </c>
      <c r="W20">
        <f t="shared" si="13"/>
        <v>2192</v>
      </c>
      <c r="X20">
        <f t="shared" si="14"/>
        <v>2473</v>
      </c>
      <c r="Y20">
        <f t="shared" si="14"/>
        <v>2629</v>
      </c>
      <c r="Z20">
        <f t="shared" si="14"/>
        <v>2586</v>
      </c>
      <c r="AA20">
        <f t="shared" si="14"/>
        <v>2767</v>
      </c>
      <c r="AB20">
        <f t="shared" si="14"/>
        <v>2721</v>
      </c>
      <c r="AC20">
        <f t="shared" si="14"/>
        <v>2629</v>
      </c>
      <c r="AD20">
        <f t="shared" si="14"/>
        <v>3235</v>
      </c>
      <c r="AE20">
        <f t="shared" si="14"/>
        <v>4011</v>
      </c>
      <c r="AF20">
        <f t="shared" si="14"/>
        <v>4906</v>
      </c>
      <c r="AG20">
        <f t="shared" si="14"/>
        <v>5232</v>
      </c>
      <c r="AH20">
        <f t="shared" si="14"/>
        <v>5639</v>
      </c>
      <c r="AI20">
        <f t="shared" si="14"/>
        <v>5940</v>
      </c>
      <c r="AJ20">
        <f t="shared" si="14"/>
        <v>6504</v>
      </c>
      <c r="AK20">
        <f t="shared" si="14"/>
        <v>7693</v>
      </c>
      <c r="AL20">
        <f t="shared" si="14"/>
        <v>8669</v>
      </c>
      <c r="AM20">
        <f t="shared" si="14"/>
        <v>8310</v>
      </c>
      <c r="AN20">
        <f t="shared" si="14"/>
        <v>9003</v>
      </c>
      <c r="AO20">
        <f t="shared" si="14"/>
        <v>10705</v>
      </c>
      <c r="AP20">
        <f t="shared" si="14"/>
        <v>11977</v>
      </c>
      <c r="AQ20">
        <f t="shared" si="14"/>
        <v>12776</v>
      </c>
      <c r="AR20">
        <f t="shared" si="14"/>
        <v>13261</v>
      </c>
    </row>
    <row r="21" spans="1:44" x14ac:dyDescent="0.25">
      <c r="A21">
        <f t="shared" si="7"/>
        <v>636</v>
      </c>
      <c r="B21" t="str">
        <f>Export!A20</f>
        <v>049</v>
      </c>
      <c r="C21" t="str">
        <f>Export!B20</f>
        <v>Informationsdienstleistungen</v>
      </c>
      <c r="E21">
        <f t="shared" si="8"/>
        <v>899</v>
      </c>
      <c r="F21" t="str">
        <f>Import!A20</f>
        <v>049</v>
      </c>
      <c r="G21" t="str">
        <f>Import!B20</f>
        <v>Informationsdienstleistungen</v>
      </c>
      <c r="I21">
        <v>4</v>
      </c>
      <c r="J21" t="str">
        <f t="shared" si="10"/>
        <v>EDV-Dienstleistungen</v>
      </c>
      <c r="K21">
        <f t="shared" si="11"/>
        <v>10584</v>
      </c>
      <c r="L21" t="str">
        <f t="shared" si="12"/>
        <v>1995</v>
      </c>
      <c r="M21" t="str">
        <f t="shared" si="12"/>
        <v>9999</v>
      </c>
      <c r="N21">
        <f t="shared" si="13"/>
        <v>271</v>
      </c>
      <c r="O21">
        <f t="shared" si="13"/>
        <v>355</v>
      </c>
      <c r="P21">
        <f t="shared" si="13"/>
        <v>396</v>
      </c>
      <c r="Q21">
        <f t="shared" si="13"/>
        <v>492</v>
      </c>
      <c r="R21">
        <f t="shared" si="13"/>
        <v>524</v>
      </c>
      <c r="S21">
        <f t="shared" si="13"/>
        <v>552</v>
      </c>
      <c r="T21">
        <f t="shared" si="13"/>
        <v>618</v>
      </c>
      <c r="U21">
        <f t="shared" si="13"/>
        <v>692</v>
      </c>
      <c r="V21">
        <f t="shared" si="13"/>
        <v>731</v>
      </c>
      <c r="W21">
        <f t="shared" si="13"/>
        <v>833</v>
      </c>
      <c r="X21">
        <f t="shared" si="14"/>
        <v>918</v>
      </c>
      <c r="Y21">
        <f t="shared" si="14"/>
        <v>1025</v>
      </c>
      <c r="Z21">
        <f t="shared" si="14"/>
        <v>1176</v>
      </c>
      <c r="AA21">
        <f t="shared" si="14"/>
        <v>1283</v>
      </c>
      <c r="AB21">
        <f t="shared" si="14"/>
        <v>1219</v>
      </c>
      <c r="AC21">
        <f t="shared" si="14"/>
        <v>1273</v>
      </c>
      <c r="AD21">
        <f t="shared" si="14"/>
        <v>1486</v>
      </c>
      <c r="AE21">
        <f t="shared" si="14"/>
        <v>1750</v>
      </c>
      <c r="AF21">
        <f t="shared" si="14"/>
        <v>2449</v>
      </c>
      <c r="AG21">
        <f t="shared" si="14"/>
        <v>2831</v>
      </c>
      <c r="AH21">
        <f t="shared" si="14"/>
        <v>2945</v>
      </c>
      <c r="AI21">
        <f t="shared" si="14"/>
        <v>3146</v>
      </c>
      <c r="AJ21">
        <f t="shared" si="14"/>
        <v>3552</v>
      </c>
      <c r="AK21">
        <f t="shared" si="14"/>
        <v>4859</v>
      </c>
      <c r="AL21">
        <f t="shared" si="14"/>
        <v>5721</v>
      </c>
      <c r="AM21">
        <f t="shared" si="14"/>
        <v>6031</v>
      </c>
      <c r="AN21">
        <f t="shared" si="14"/>
        <v>6936</v>
      </c>
      <c r="AO21">
        <f t="shared" si="14"/>
        <v>7977</v>
      </c>
      <c r="AP21">
        <f t="shared" si="14"/>
        <v>8680</v>
      </c>
      <c r="AQ21">
        <f t="shared" si="14"/>
        <v>9815</v>
      </c>
      <c r="AR21">
        <f t="shared" si="14"/>
        <v>10584</v>
      </c>
    </row>
    <row r="22" spans="1:44" x14ac:dyDescent="0.25">
      <c r="A22">
        <f t="shared" si="7"/>
        <v>3601</v>
      </c>
      <c r="B22" t="str">
        <f>Export!A21</f>
        <v>051</v>
      </c>
      <c r="C22" t="str">
        <f>Export!B21</f>
        <v>Forschungs- und Entwicklungsleistungen</v>
      </c>
      <c r="E22">
        <f t="shared" si="8"/>
        <v>1821</v>
      </c>
      <c r="F22" t="str">
        <f>Import!A21</f>
        <v>051</v>
      </c>
      <c r="G22" t="str">
        <f>Import!B21</f>
        <v>Forschungs- und Entwicklungsleistungen</v>
      </c>
      <c r="I22">
        <v>5</v>
      </c>
      <c r="J22" t="str">
        <f t="shared" si="10"/>
        <v>Rechts- und Wirtschaftsdienste, Werbung und Marktforschung</v>
      </c>
      <c r="K22">
        <f t="shared" si="11"/>
        <v>8231</v>
      </c>
      <c r="L22" t="str">
        <f t="shared" si="12"/>
        <v>1995</v>
      </c>
      <c r="M22" t="str">
        <f t="shared" si="12"/>
        <v>9999</v>
      </c>
      <c r="N22">
        <f t="shared" si="13"/>
        <v>679</v>
      </c>
      <c r="O22">
        <f t="shared" si="13"/>
        <v>798</v>
      </c>
      <c r="P22">
        <f t="shared" si="13"/>
        <v>868</v>
      </c>
      <c r="Q22">
        <f t="shared" si="13"/>
        <v>998</v>
      </c>
      <c r="R22">
        <f t="shared" si="13"/>
        <v>925</v>
      </c>
      <c r="S22">
        <f t="shared" si="13"/>
        <v>950</v>
      </c>
      <c r="T22">
        <f t="shared" si="13"/>
        <v>942</v>
      </c>
      <c r="U22">
        <f t="shared" si="13"/>
        <v>1020</v>
      </c>
      <c r="V22">
        <f t="shared" si="13"/>
        <v>1044</v>
      </c>
      <c r="W22">
        <f t="shared" si="13"/>
        <v>1212</v>
      </c>
      <c r="X22">
        <f t="shared" si="14"/>
        <v>1359</v>
      </c>
      <c r="Y22">
        <f t="shared" si="14"/>
        <v>1487</v>
      </c>
      <c r="Z22">
        <f t="shared" si="14"/>
        <v>1484</v>
      </c>
      <c r="AA22">
        <f t="shared" si="14"/>
        <v>1564</v>
      </c>
      <c r="AB22">
        <f t="shared" si="14"/>
        <v>1419</v>
      </c>
      <c r="AC22">
        <f t="shared" si="14"/>
        <v>1473</v>
      </c>
      <c r="AD22">
        <f t="shared" si="14"/>
        <v>1726</v>
      </c>
      <c r="AE22">
        <f t="shared" si="14"/>
        <v>1983</v>
      </c>
      <c r="AF22">
        <f t="shared" si="14"/>
        <v>2920</v>
      </c>
      <c r="AG22">
        <f t="shared" si="14"/>
        <v>3419</v>
      </c>
      <c r="AH22">
        <f t="shared" si="14"/>
        <v>3563</v>
      </c>
      <c r="AI22">
        <f t="shared" si="14"/>
        <v>3759</v>
      </c>
      <c r="AJ22">
        <f t="shared" si="14"/>
        <v>4252</v>
      </c>
      <c r="AK22">
        <f t="shared" si="14"/>
        <v>4553</v>
      </c>
      <c r="AL22">
        <f t="shared" si="14"/>
        <v>4770</v>
      </c>
      <c r="AM22">
        <f t="shared" si="14"/>
        <v>4561</v>
      </c>
      <c r="AN22">
        <f t="shared" si="14"/>
        <v>5034</v>
      </c>
      <c r="AO22">
        <f t="shared" si="14"/>
        <v>6443</v>
      </c>
      <c r="AP22">
        <f t="shared" si="14"/>
        <v>7088</v>
      </c>
      <c r="AQ22">
        <f t="shared" si="14"/>
        <v>7730</v>
      </c>
      <c r="AR22">
        <f t="shared" si="14"/>
        <v>8231</v>
      </c>
    </row>
    <row r="23" spans="1:44" x14ac:dyDescent="0.25">
      <c r="A23">
        <f t="shared" si="7"/>
        <v>5313</v>
      </c>
      <c r="B23" t="str">
        <f>Export!A22</f>
        <v>055</v>
      </c>
      <c r="C23" t="str">
        <f>Export!B22</f>
        <v>Rechts- und Wirtschaftsdienste, Werbung und Marktforschung</v>
      </c>
      <c r="E23">
        <f t="shared" si="8"/>
        <v>8231</v>
      </c>
      <c r="F23" t="str">
        <f>Import!A22</f>
        <v>055</v>
      </c>
      <c r="G23" t="str">
        <f>Import!B22</f>
        <v>Rechts- und Wirtschaftsdienste, Werbung und Marktforschung</v>
      </c>
      <c r="I23">
        <v>6</v>
      </c>
      <c r="J23" t="str">
        <f t="shared" si="10"/>
        <v>Gebühren für Lohnveredelung</v>
      </c>
      <c r="K23">
        <f t="shared" si="11"/>
        <v>3543</v>
      </c>
      <c r="L23" t="str">
        <f t="shared" si="12"/>
        <v>1995</v>
      </c>
      <c r="M23" t="str">
        <f t="shared" si="12"/>
        <v>9999</v>
      </c>
      <c r="N23">
        <f t="shared" si="13"/>
        <v>120</v>
      </c>
      <c r="O23">
        <f t="shared" si="13"/>
        <v>181</v>
      </c>
      <c r="P23">
        <f t="shared" si="13"/>
        <v>215</v>
      </c>
      <c r="Q23">
        <f t="shared" si="13"/>
        <v>205</v>
      </c>
      <c r="R23">
        <f t="shared" si="13"/>
        <v>276</v>
      </c>
      <c r="S23">
        <f t="shared" si="13"/>
        <v>311</v>
      </c>
      <c r="T23">
        <f t="shared" si="13"/>
        <v>631</v>
      </c>
      <c r="U23">
        <f t="shared" si="13"/>
        <v>716</v>
      </c>
      <c r="V23">
        <f t="shared" si="13"/>
        <v>896</v>
      </c>
      <c r="W23">
        <f t="shared" si="13"/>
        <v>827</v>
      </c>
      <c r="X23">
        <f t="shared" si="14"/>
        <v>844</v>
      </c>
      <c r="Y23">
        <f t="shared" si="14"/>
        <v>1068</v>
      </c>
      <c r="Z23">
        <f t="shared" si="14"/>
        <v>1117</v>
      </c>
      <c r="AA23">
        <f t="shared" si="14"/>
        <v>1207</v>
      </c>
      <c r="AB23">
        <f t="shared" si="14"/>
        <v>806</v>
      </c>
      <c r="AC23">
        <f t="shared" si="14"/>
        <v>876</v>
      </c>
      <c r="AD23">
        <f t="shared" si="14"/>
        <v>1004</v>
      </c>
      <c r="AE23">
        <f t="shared" si="14"/>
        <v>878</v>
      </c>
      <c r="AF23">
        <f t="shared" si="14"/>
        <v>1712</v>
      </c>
      <c r="AG23">
        <f t="shared" si="14"/>
        <v>1688</v>
      </c>
      <c r="AH23">
        <f t="shared" si="14"/>
        <v>1712</v>
      </c>
      <c r="AI23">
        <f t="shared" si="14"/>
        <v>1956</v>
      </c>
      <c r="AJ23">
        <f t="shared" si="14"/>
        <v>2072</v>
      </c>
      <c r="AK23">
        <f t="shared" si="14"/>
        <v>2440</v>
      </c>
      <c r="AL23">
        <f t="shared" si="14"/>
        <v>2627</v>
      </c>
      <c r="AM23">
        <f t="shared" si="14"/>
        <v>2459</v>
      </c>
      <c r="AN23">
        <f t="shared" si="14"/>
        <v>2695</v>
      </c>
      <c r="AO23">
        <f t="shared" si="14"/>
        <v>3053</v>
      </c>
      <c r="AP23">
        <f t="shared" si="14"/>
        <v>3216</v>
      </c>
      <c r="AQ23">
        <f t="shared" si="14"/>
        <v>3535</v>
      </c>
      <c r="AR23">
        <f t="shared" si="14"/>
        <v>3543</v>
      </c>
    </row>
    <row r="24" spans="1:44" x14ac:dyDescent="0.25">
      <c r="A24">
        <f t="shared" si="7"/>
        <v>13321</v>
      </c>
      <c r="B24" t="str">
        <f>Export!A23</f>
        <v>076</v>
      </c>
      <c r="C24" t="str">
        <f>Export!B23</f>
        <v>Technische, Handels- und sonstige unternehmensbezogene Dienstleistungen</v>
      </c>
      <c r="E24">
        <f t="shared" si="8"/>
        <v>13261</v>
      </c>
      <c r="F24" t="str">
        <f>Import!A23</f>
        <v>076</v>
      </c>
      <c r="G24" t="str">
        <f>Import!B23</f>
        <v>Technische, Handels- und sonstige unternehmensbezogene Dienstleistungen</v>
      </c>
      <c r="I24">
        <v>7</v>
      </c>
      <c r="J24" t="str">
        <f t="shared" si="10"/>
        <v>Patente, Lizenzen, Franchisen</v>
      </c>
      <c r="K24">
        <f t="shared" si="11"/>
        <v>2314</v>
      </c>
      <c r="L24" t="str">
        <f t="shared" si="12"/>
        <v>1995</v>
      </c>
      <c r="M24" t="str">
        <f t="shared" si="12"/>
        <v>9999</v>
      </c>
      <c r="N24">
        <f t="shared" si="13"/>
        <v>450</v>
      </c>
      <c r="O24">
        <f t="shared" si="13"/>
        <v>627</v>
      </c>
      <c r="P24">
        <f t="shared" si="13"/>
        <v>724</v>
      </c>
      <c r="Q24">
        <f t="shared" si="13"/>
        <v>829</v>
      </c>
      <c r="R24">
        <f t="shared" si="13"/>
        <v>720</v>
      </c>
      <c r="S24">
        <f t="shared" si="13"/>
        <v>769</v>
      </c>
      <c r="T24">
        <f t="shared" si="13"/>
        <v>1013</v>
      </c>
      <c r="U24">
        <f t="shared" si="13"/>
        <v>1286</v>
      </c>
      <c r="V24">
        <f t="shared" si="13"/>
        <v>1168</v>
      </c>
      <c r="W24">
        <f t="shared" si="13"/>
        <v>1196</v>
      </c>
      <c r="X24">
        <f t="shared" si="14"/>
        <v>1299</v>
      </c>
      <c r="Y24">
        <f t="shared" si="14"/>
        <v>1268</v>
      </c>
      <c r="Z24">
        <f t="shared" si="14"/>
        <v>1305</v>
      </c>
      <c r="AA24">
        <f t="shared" si="14"/>
        <v>1441</v>
      </c>
      <c r="AB24">
        <f t="shared" si="14"/>
        <v>1220</v>
      </c>
      <c r="AC24">
        <f t="shared" si="14"/>
        <v>1212</v>
      </c>
      <c r="AD24">
        <f t="shared" si="14"/>
        <v>1344</v>
      </c>
      <c r="AE24">
        <f t="shared" si="14"/>
        <v>1522</v>
      </c>
      <c r="AF24">
        <f t="shared" si="14"/>
        <v>1436</v>
      </c>
      <c r="AG24">
        <f t="shared" si="14"/>
        <v>1358</v>
      </c>
      <c r="AH24">
        <f t="shared" si="14"/>
        <v>1333</v>
      </c>
      <c r="AI24">
        <f t="shared" si="14"/>
        <v>1336</v>
      </c>
      <c r="AJ24">
        <f t="shared" si="14"/>
        <v>1482</v>
      </c>
      <c r="AK24">
        <f t="shared" si="14"/>
        <v>1532</v>
      </c>
      <c r="AL24">
        <f t="shared" si="14"/>
        <v>1886</v>
      </c>
      <c r="AM24">
        <f t="shared" si="14"/>
        <v>1441</v>
      </c>
      <c r="AN24">
        <f t="shared" si="14"/>
        <v>1535</v>
      </c>
      <c r="AO24">
        <f t="shared" si="14"/>
        <v>1758</v>
      </c>
      <c r="AP24">
        <f t="shared" si="14"/>
        <v>1932</v>
      </c>
      <c r="AQ24">
        <f t="shared" si="14"/>
        <v>2031</v>
      </c>
      <c r="AR24">
        <f t="shared" si="14"/>
        <v>2314</v>
      </c>
    </row>
    <row r="25" spans="1:44" x14ac:dyDescent="0.25">
      <c r="A25">
        <f t="shared" si="7"/>
        <v>193</v>
      </c>
      <c r="B25" t="str">
        <f>Export!A24</f>
        <v>086</v>
      </c>
      <c r="C25" t="str">
        <f>Export!B24</f>
        <v>Audiovisuelle und künstlerische Dienstleistungen</v>
      </c>
      <c r="E25">
        <f t="shared" si="8"/>
        <v>1403</v>
      </c>
      <c r="F25" t="str">
        <f>Import!A24</f>
        <v>086</v>
      </c>
      <c r="G25" t="str">
        <f>Import!B24</f>
        <v>Audiovisuelle und künstlerische Dienstleistungen</v>
      </c>
      <c r="I25">
        <v>8</v>
      </c>
      <c r="J25" t="str">
        <f t="shared" si="10"/>
        <v>Geschäftsreisen</v>
      </c>
      <c r="K25">
        <f t="shared" si="11"/>
        <v>2226</v>
      </c>
      <c r="L25" t="str">
        <f t="shared" si="12"/>
        <v>1995</v>
      </c>
      <c r="M25" t="str">
        <f t="shared" si="12"/>
        <v>9999</v>
      </c>
      <c r="N25">
        <f t="shared" si="13"/>
        <v>1299</v>
      </c>
      <c r="O25">
        <f t="shared" si="13"/>
        <v>1377</v>
      </c>
      <c r="P25">
        <f t="shared" si="13"/>
        <v>1488</v>
      </c>
      <c r="Q25">
        <f t="shared" si="13"/>
        <v>1404</v>
      </c>
      <c r="R25">
        <f t="shared" si="13"/>
        <v>1374</v>
      </c>
      <c r="S25">
        <f t="shared" si="13"/>
        <v>1504</v>
      </c>
      <c r="T25">
        <f t="shared" si="13"/>
        <v>1676</v>
      </c>
      <c r="U25">
        <f t="shared" si="13"/>
        <v>1642</v>
      </c>
      <c r="V25">
        <f t="shared" si="13"/>
        <v>1623</v>
      </c>
      <c r="W25">
        <f t="shared" si="13"/>
        <v>1630</v>
      </c>
      <c r="X25">
        <f t="shared" si="14"/>
        <v>1564</v>
      </c>
      <c r="Y25">
        <f t="shared" si="14"/>
        <v>1564</v>
      </c>
      <c r="Z25">
        <f t="shared" si="14"/>
        <v>1642</v>
      </c>
      <c r="AA25">
        <f t="shared" si="14"/>
        <v>1593</v>
      </c>
      <c r="AB25">
        <f t="shared" si="14"/>
        <v>1292</v>
      </c>
      <c r="AC25">
        <f t="shared" si="14"/>
        <v>1302</v>
      </c>
      <c r="AD25">
        <f t="shared" si="14"/>
        <v>1354</v>
      </c>
      <c r="AE25">
        <f t="shared" si="14"/>
        <v>1371</v>
      </c>
      <c r="AF25">
        <f t="shared" si="14"/>
        <v>1389</v>
      </c>
      <c r="AG25">
        <f t="shared" si="14"/>
        <v>1457</v>
      </c>
      <c r="AH25">
        <f t="shared" si="14"/>
        <v>1471</v>
      </c>
      <c r="AI25">
        <f t="shared" si="14"/>
        <v>1470</v>
      </c>
      <c r="AJ25">
        <f t="shared" si="14"/>
        <v>1468</v>
      </c>
      <c r="AK25">
        <f t="shared" si="14"/>
        <v>1427</v>
      </c>
      <c r="AL25">
        <f t="shared" si="14"/>
        <v>1584</v>
      </c>
      <c r="AM25">
        <f t="shared" si="14"/>
        <v>889</v>
      </c>
      <c r="AN25">
        <f t="shared" si="14"/>
        <v>887</v>
      </c>
      <c r="AO25">
        <f t="shared" si="14"/>
        <v>1351</v>
      </c>
      <c r="AP25">
        <f t="shared" si="14"/>
        <v>1990</v>
      </c>
      <c r="AQ25">
        <f t="shared" si="14"/>
        <v>2170</v>
      </c>
      <c r="AR25">
        <f t="shared" si="14"/>
        <v>2226</v>
      </c>
    </row>
    <row r="26" spans="1:44" x14ac:dyDescent="0.25">
      <c r="A26">
        <f t="shared" si="7"/>
        <v>280</v>
      </c>
      <c r="B26" t="str">
        <f>Export!A25</f>
        <v>087</v>
      </c>
      <c r="C26" t="str">
        <f>Export!B25</f>
        <v>Gesundheitsdienstleistungen</v>
      </c>
      <c r="E26">
        <f t="shared" si="8"/>
        <v>660</v>
      </c>
      <c r="F26" t="str">
        <f>Import!A25</f>
        <v>087</v>
      </c>
      <c r="G26" t="str">
        <f>Import!B25</f>
        <v>Gesundheitsdienstleistungen</v>
      </c>
      <c r="I26">
        <v>9</v>
      </c>
      <c r="J26" t="str">
        <f t="shared" si="10"/>
        <v>Internationaler Personentransport</v>
      </c>
      <c r="K26">
        <f t="shared" si="11"/>
        <v>1826</v>
      </c>
      <c r="L26" t="str">
        <f t="shared" si="12"/>
        <v>1995</v>
      </c>
      <c r="M26" t="str">
        <f t="shared" si="12"/>
        <v>9999</v>
      </c>
      <c r="N26">
        <f t="shared" si="13"/>
        <v>585</v>
      </c>
      <c r="O26">
        <f t="shared" si="13"/>
        <v>588</v>
      </c>
      <c r="P26">
        <f t="shared" si="13"/>
        <v>544</v>
      </c>
      <c r="Q26">
        <f t="shared" si="13"/>
        <v>730</v>
      </c>
      <c r="R26">
        <f t="shared" si="13"/>
        <v>743</v>
      </c>
      <c r="S26">
        <f t="shared" si="13"/>
        <v>832</v>
      </c>
      <c r="T26">
        <f t="shared" si="13"/>
        <v>928</v>
      </c>
      <c r="U26">
        <f t="shared" si="13"/>
        <v>888</v>
      </c>
      <c r="V26">
        <f t="shared" si="13"/>
        <v>1003</v>
      </c>
      <c r="W26">
        <f t="shared" si="13"/>
        <v>1270</v>
      </c>
      <c r="X26">
        <f t="shared" si="14"/>
        <v>1417</v>
      </c>
      <c r="Y26">
        <f t="shared" si="14"/>
        <v>1667</v>
      </c>
      <c r="Z26">
        <f t="shared" si="14"/>
        <v>1652</v>
      </c>
      <c r="AA26">
        <f t="shared" si="14"/>
        <v>1735</v>
      </c>
      <c r="AB26">
        <f t="shared" si="14"/>
        <v>1399</v>
      </c>
      <c r="AC26">
        <f t="shared" si="14"/>
        <v>1574</v>
      </c>
      <c r="AD26">
        <f t="shared" si="14"/>
        <v>1701</v>
      </c>
      <c r="AE26">
        <f t="shared" si="14"/>
        <v>1839</v>
      </c>
      <c r="AF26">
        <f t="shared" si="14"/>
        <v>1848</v>
      </c>
      <c r="AG26">
        <f t="shared" si="14"/>
        <v>1878</v>
      </c>
      <c r="AH26">
        <f t="shared" si="14"/>
        <v>1810</v>
      </c>
      <c r="AI26">
        <f t="shared" si="14"/>
        <v>1682</v>
      </c>
      <c r="AJ26">
        <f t="shared" si="14"/>
        <v>1863</v>
      </c>
      <c r="AK26">
        <f t="shared" si="14"/>
        <v>1966</v>
      </c>
      <c r="AL26">
        <f t="shared" si="14"/>
        <v>2146</v>
      </c>
      <c r="AM26">
        <f t="shared" si="14"/>
        <v>596</v>
      </c>
      <c r="AN26">
        <f t="shared" si="14"/>
        <v>761</v>
      </c>
      <c r="AO26">
        <f t="shared" si="14"/>
        <v>1689</v>
      </c>
      <c r="AP26">
        <f t="shared" si="14"/>
        <v>1917</v>
      </c>
      <c r="AQ26">
        <f t="shared" si="14"/>
        <v>1963</v>
      </c>
      <c r="AR26">
        <f t="shared" si="14"/>
        <v>1826</v>
      </c>
    </row>
    <row r="27" spans="1:44" x14ac:dyDescent="0.25">
      <c r="A27">
        <f t="shared" si="7"/>
        <v>100</v>
      </c>
      <c r="B27" t="str">
        <f>Export!A26</f>
        <v>088</v>
      </c>
      <c r="C27" t="str">
        <f>Export!B26</f>
        <v>Bildungsdienstleistungen</v>
      </c>
      <c r="E27">
        <f t="shared" si="8"/>
        <v>149</v>
      </c>
      <c r="F27" t="str">
        <f>Import!A26</f>
        <v>088</v>
      </c>
      <c r="G27" t="str">
        <f>Import!B26</f>
        <v>Bildungsdienstleistungen</v>
      </c>
      <c r="I27">
        <v>10</v>
      </c>
      <c r="J27" t="str">
        <f t="shared" si="10"/>
        <v>Forschungs- und Entwicklungsleistungen</v>
      </c>
      <c r="K27">
        <f t="shared" si="11"/>
        <v>1821</v>
      </c>
      <c r="L27" t="str">
        <f t="shared" si="12"/>
        <v>1995</v>
      </c>
      <c r="M27" t="str">
        <f t="shared" si="12"/>
        <v>9999</v>
      </c>
      <c r="N27">
        <f t="shared" si="13"/>
        <v>66</v>
      </c>
      <c r="O27">
        <f t="shared" si="13"/>
        <v>64</v>
      </c>
      <c r="P27">
        <f t="shared" si="13"/>
        <v>65</v>
      </c>
      <c r="Q27">
        <f t="shared" si="13"/>
        <v>93</v>
      </c>
      <c r="R27">
        <f t="shared" si="13"/>
        <v>81</v>
      </c>
      <c r="S27">
        <f t="shared" si="13"/>
        <v>128</v>
      </c>
      <c r="T27">
        <f t="shared" si="13"/>
        <v>182</v>
      </c>
      <c r="U27">
        <f t="shared" si="13"/>
        <v>167</v>
      </c>
      <c r="V27">
        <f t="shared" si="13"/>
        <v>159</v>
      </c>
      <c r="W27">
        <f t="shared" si="13"/>
        <v>203</v>
      </c>
      <c r="X27">
        <f t="shared" si="14"/>
        <v>236</v>
      </c>
      <c r="Y27">
        <f t="shared" si="14"/>
        <v>338</v>
      </c>
      <c r="Z27">
        <f t="shared" si="14"/>
        <v>380</v>
      </c>
      <c r="AA27">
        <f t="shared" si="14"/>
        <v>522</v>
      </c>
      <c r="AB27">
        <f t="shared" si="14"/>
        <v>539</v>
      </c>
      <c r="AC27">
        <f t="shared" si="14"/>
        <v>368</v>
      </c>
      <c r="AD27">
        <f t="shared" si="14"/>
        <v>417</v>
      </c>
      <c r="AE27">
        <f t="shared" si="14"/>
        <v>525</v>
      </c>
      <c r="AF27">
        <f t="shared" si="14"/>
        <v>635</v>
      </c>
      <c r="AG27">
        <f t="shared" si="14"/>
        <v>677</v>
      </c>
      <c r="AH27">
        <f t="shared" si="14"/>
        <v>734</v>
      </c>
      <c r="AI27">
        <f t="shared" si="14"/>
        <v>816</v>
      </c>
      <c r="AJ27">
        <f t="shared" si="14"/>
        <v>1025</v>
      </c>
      <c r="AK27">
        <f t="shared" si="14"/>
        <v>973</v>
      </c>
      <c r="AL27">
        <f t="shared" si="14"/>
        <v>1106</v>
      </c>
      <c r="AM27">
        <f t="shared" si="14"/>
        <v>1185</v>
      </c>
      <c r="AN27">
        <f t="shared" si="14"/>
        <v>1321</v>
      </c>
      <c r="AO27">
        <f t="shared" si="14"/>
        <v>1448</v>
      </c>
      <c r="AP27">
        <f t="shared" si="14"/>
        <v>1598</v>
      </c>
      <c r="AQ27">
        <f t="shared" si="14"/>
        <v>1635</v>
      </c>
      <c r="AR27">
        <f t="shared" si="14"/>
        <v>1821</v>
      </c>
    </row>
    <row r="28" spans="1:44" x14ac:dyDescent="0.25">
      <c r="A28">
        <f t="shared" si="7"/>
        <v>33</v>
      </c>
      <c r="B28" t="str">
        <f>Export!A27</f>
        <v>089</v>
      </c>
      <c r="C28" t="str">
        <f>Export!B27</f>
        <v>Dienstleistungen für Kultur und Freizeit</v>
      </c>
      <c r="E28">
        <f t="shared" si="8"/>
        <v>167</v>
      </c>
      <c r="F28" t="str">
        <f>Import!A27</f>
        <v>089</v>
      </c>
      <c r="G28" t="str">
        <f>Import!B27</f>
        <v>Dienstleistungen für Kultur und Freizeit</v>
      </c>
    </row>
    <row r="29" spans="1:44" x14ac:dyDescent="0.25">
      <c r="A29">
        <f t="shared" si="7"/>
        <v>132</v>
      </c>
      <c r="B29" t="str">
        <f>Export!A28</f>
        <v>090</v>
      </c>
      <c r="C29" t="str">
        <f>Export!B28</f>
        <v>übrige persönliche Dienstleistungen</v>
      </c>
      <c r="E29">
        <f t="shared" si="8"/>
        <v>207</v>
      </c>
      <c r="F29" t="str">
        <f>Import!A28</f>
        <v>090</v>
      </c>
      <c r="G29" t="str">
        <f>Import!B28</f>
        <v>übrige persönliche Dienstleistungen</v>
      </c>
      <c r="I29">
        <f>IF(LEFT(Kürzel_Außenhandelspartner,1)="K","",IF(Außenhandelspartner="Dienstleistungen","",_xlfn.RANK.EQ($K$29,Import_Ranking)))</f>
        <v>2</v>
      </c>
      <c r="J29" t="str">
        <f>Außenhandelspartner</f>
        <v>Privatreisen</v>
      </c>
      <c r="K29">
        <f>VLOOKUP(Außenhandelspartner,Import_Matrix,$A$1,FALSE)/Einheit_Wert</f>
        <v>13906</v>
      </c>
      <c r="L29" t="str">
        <f>VLOOKUP($J29,Import_Matrix,L$1,FALSE)</f>
        <v>1995</v>
      </c>
      <c r="M29" t="str">
        <f>VLOOKUP($J29,Import_Matrix,M$1,FALSE)</f>
        <v>9999</v>
      </c>
      <c r="N29">
        <f t="shared" ref="N29:AR29" si="15">VLOOKUP($J29,Import_Matrix,N$1,FALSE)/Einheit_Wert</f>
        <v>4544</v>
      </c>
      <c r="O29">
        <f t="shared" si="15"/>
        <v>4850</v>
      </c>
      <c r="P29">
        <f t="shared" si="15"/>
        <v>5088</v>
      </c>
      <c r="Q29">
        <f t="shared" si="15"/>
        <v>4879</v>
      </c>
      <c r="R29">
        <f t="shared" si="15"/>
        <v>4958</v>
      </c>
      <c r="S29">
        <f t="shared" si="15"/>
        <v>5263</v>
      </c>
      <c r="T29">
        <f t="shared" si="15"/>
        <v>5690</v>
      </c>
      <c r="U29">
        <f t="shared" si="15"/>
        <v>5644</v>
      </c>
      <c r="V29">
        <f t="shared" si="15"/>
        <v>6011</v>
      </c>
      <c r="W29">
        <f t="shared" si="15"/>
        <v>5843</v>
      </c>
      <c r="X29">
        <f t="shared" si="15"/>
        <v>5942</v>
      </c>
      <c r="Y29">
        <f t="shared" si="15"/>
        <v>6077</v>
      </c>
      <c r="Z29">
        <f t="shared" si="15"/>
        <v>6057</v>
      </c>
      <c r="AA29">
        <f t="shared" si="15"/>
        <v>6128</v>
      </c>
      <c r="AB29">
        <f t="shared" si="15"/>
        <v>6452</v>
      </c>
      <c r="AC29">
        <f t="shared" si="15"/>
        <v>6416</v>
      </c>
      <c r="AD29">
        <f t="shared" si="15"/>
        <v>6177</v>
      </c>
      <c r="AE29">
        <f t="shared" si="15"/>
        <v>6454</v>
      </c>
      <c r="AF29">
        <f t="shared" si="15"/>
        <v>6511</v>
      </c>
      <c r="AG29">
        <f t="shared" si="15"/>
        <v>6872</v>
      </c>
      <c r="AH29">
        <f t="shared" si="15"/>
        <v>6936</v>
      </c>
      <c r="AI29">
        <f t="shared" si="15"/>
        <v>7329</v>
      </c>
      <c r="AJ29">
        <f t="shared" si="15"/>
        <v>7987</v>
      </c>
      <c r="AK29">
        <f t="shared" si="15"/>
        <v>8591</v>
      </c>
      <c r="AL29">
        <f t="shared" si="15"/>
        <v>8780</v>
      </c>
      <c r="AM29">
        <f t="shared" si="15"/>
        <v>3038</v>
      </c>
      <c r="AN29">
        <f t="shared" si="15"/>
        <v>5249</v>
      </c>
      <c r="AO29">
        <f t="shared" si="15"/>
        <v>10225</v>
      </c>
      <c r="AP29">
        <f t="shared" si="15"/>
        <v>12082</v>
      </c>
      <c r="AQ29">
        <f t="shared" si="15"/>
        <v>13264</v>
      </c>
      <c r="AR29">
        <f t="shared" si="15"/>
        <v>13906</v>
      </c>
    </row>
    <row r="30" spans="1:44" x14ac:dyDescent="0.25">
      <c r="A30">
        <f t="shared" si="7"/>
        <v>845</v>
      </c>
      <c r="B30" t="str">
        <f>Export!A29</f>
        <v>091</v>
      </c>
      <c r="C30" t="str">
        <f>Export!B29</f>
        <v>Regierungsdienstleistungen (Int. Org.)</v>
      </c>
      <c r="E30">
        <f t="shared" si="8"/>
        <v>213</v>
      </c>
      <c r="F30" t="str">
        <f>Import!A29</f>
        <v>091</v>
      </c>
      <c r="G30" t="str">
        <f>Import!B29</f>
        <v>Regierungsdienstleistungen (Int. Org.)</v>
      </c>
    </row>
    <row r="31" spans="1:44" x14ac:dyDescent="0.25">
      <c r="A31">
        <f t="shared" si="7"/>
        <v>93443</v>
      </c>
      <c r="B31" t="str">
        <f>Export!A30</f>
        <v>Gesamt</v>
      </c>
      <c r="C31" t="str">
        <f>Export!B30</f>
        <v>Dienstleistungen</v>
      </c>
      <c r="E31">
        <f t="shared" si="8"/>
        <v>86755</v>
      </c>
      <c r="F31" t="str">
        <f>Import!A30</f>
        <v>Gesamt</v>
      </c>
      <c r="G31" t="str">
        <f>Import!B30</f>
        <v>Dienstleistungen</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dimension ref="A1:U33"/>
  <sheetViews>
    <sheetView topLeftCell="A19" workbookViewId="0">
      <selection activeCell="N34" sqref="N34"/>
    </sheetView>
  </sheetViews>
  <sheetFormatPr baseColWidth="10" defaultRowHeight="12.5" x14ac:dyDescent="0.25"/>
  <cols>
    <col min="1" max="1" width="8.453125" customWidth="1"/>
    <col min="2" max="2" width="23.54296875" customWidth="1"/>
    <col min="3" max="4" width="8" customWidth="1"/>
    <col min="5" max="5" width="8.81640625" customWidth="1"/>
    <col min="6" max="6" width="5" bestFit="1" customWidth="1"/>
    <col min="7" max="7" width="3.1796875" customWidth="1"/>
    <col min="8" max="9" width="9.54296875" customWidth="1"/>
    <col min="10" max="10" width="13.453125" customWidth="1"/>
    <col min="11" max="11" width="4.54296875" customWidth="1"/>
    <col min="12" max="12" width="4.453125" customWidth="1"/>
    <col min="13" max="14" width="9.54296875" customWidth="1"/>
    <col min="15" max="15" width="13.453125" customWidth="1"/>
  </cols>
  <sheetData>
    <row r="1" spans="1:21" x14ac:dyDescent="0.25">
      <c r="A1" s="62" t="s">
        <v>75</v>
      </c>
      <c r="B1" s="62"/>
      <c r="C1" s="2"/>
      <c r="D1" s="62"/>
      <c r="E1" s="62"/>
      <c r="F1" s="62"/>
      <c r="G1" s="2"/>
      <c r="H1" s="62" t="s">
        <v>43</v>
      </c>
      <c r="I1" s="62"/>
      <c r="J1" s="62"/>
      <c r="K1" s="62"/>
      <c r="O1" t="s">
        <v>44</v>
      </c>
      <c r="Q1" t="s">
        <v>55</v>
      </c>
      <c r="R1" t="s">
        <v>56</v>
      </c>
      <c r="S1" t="s">
        <v>57</v>
      </c>
    </row>
    <row r="2" spans="1:21" ht="14.5" x14ac:dyDescent="0.35">
      <c r="A2" t="s">
        <v>1</v>
      </c>
      <c r="B2" t="s">
        <v>2</v>
      </c>
      <c r="C2" t="s">
        <v>0</v>
      </c>
      <c r="D2" s="4" t="s">
        <v>17</v>
      </c>
      <c r="E2" s="7" t="s">
        <v>40</v>
      </c>
      <c r="F2" s="3" t="s">
        <v>74</v>
      </c>
      <c r="G2" s="3"/>
      <c r="H2" s="9" t="s">
        <v>18</v>
      </c>
      <c r="I2" s="9" t="s">
        <v>59</v>
      </c>
      <c r="J2" s="2" t="s">
        <v>40</v>
      </c>
      <c r="K2" s="2"/>
      <c r="M2" s="9" t="s">
        <v>18</v>
      </c>
      <c r="N2" s="9" t="s">
        <v>59</v>
      </c>
      <c r="O2" s="2" t="s">
        <v>40</v>
      </c>
      <c r="Q2">
        <v>1</v>
      </c>
      <c r="R2" t="str">
        <f>IF(Texte!$A$1=1,"in Mio. Euro","in mill. Euros")</f>
        <v>in Mio. Euro</v>
      </c>
      <c r="S2">
        <f>IF($Q$2=1,1,IF($Q$2=2,1000,1000000))</f>
        <v>1</v>
      </c>
    </row>
    <row r="3" spans="1:21" ht="14.5" x14ac:dyDescent="0.35">
      <c r="A3" s="11" t="s">
        <v>3</v>
      </c>
      <c r="B3" s="12" t="str">
        <f>IF(Texte!$A$1=1,LOOKUP(Tabelle_Abfrage_von_MS_Access_Database4[[#This Row],[LAND]],Texte!$A$3:$A$33,Texte!$B$3:$B$33),LOOKUP(Tabelle_Abfrage_von_MS_Access_Database4[[#This Row],[LAND]],Texte!$A$3:$A$33,Texte!$C$3:$C$33))</f>
        <v>Gebühren für Lohnveredelung</v>
      </c>
      <c r="C3">
        <v>1</v>
      </c>
      <c r="D3">
        <v>8</v>
      </c>
      <c r="E3" s="6" t="str">
        <f>LOOKUP(Tabelle_Abfrage_von_MS_Access_Database4[[#This Row],[Spalte1]],Tabelle_Abfrage_von_MS_Access_Database4[Wert],Tabelle_Abfrage_von_MS_Access_Database4[Partnerland])</f>
        <v>Privatreisen</v>
      </c>
      <c r="F3" t="str">
        <f>Tabelle_Abfrage_von_MS_Access_Database4[[#This Row],[LAND]]</f>
        <v>003</v>
      </c>
      <c r="H3" s="10" t="s">
        <v>19</v>
      </c>
      <c r="I3" s="10" t="s">
        <v>60</v>
      </c>
      <c r="J3">
        <v>2025</v>
      </c>
      <c r="M3" s="10" t="s">
        <v>19</v>
      </c>
      <c r="N3" s="10" t="s">
        <v>60</v>
      </c>
      <c r="O3">
        <v>2025</v>
      </c>
    </row>
    <row r="4" spans="1:21" ht="14.5" x14ac:dyDescent="0.35">
      <c r="A4" s="11" t="s">
        <v>4</v>
      </c>
      <c r="B4" s="12" t="str">
        <f>IF(Texte!$A$1=1,LOOKUP(Tabelle_Abfrage_von_MS_Access_Database4[[#This Row],[LAND]],Texte!$A$3:$A$33,Texte!$B$3:$B$33),LOOKUP(Tabelle_Abfrage_von_MS_Access_Database4[[#This Row],[LAND]],Texte!$A$3:$A$33,Texte!$C$3:$C$33))</f>
        <v>Reparaturdienstleistungen</v>
      </c>
      <c r="C4">
        <v>2</v>
      </c>
      <c r="E4" s="6"/>
      <c r="F4" t="str">
        <f>Tabelle_Abfrage_von_MS_Access_Database4[[#This Row],[LAND]]</f>
        <v>004</v>
      </c>
      <c r="H4" s="10" t="s">
        <v>20</v>
      </c>
      <c r="I4" s="10" t="s">
        <v>60</v>
      </c>
      <c r="M4" s="10" t="s">
        <v>20</v>
      </c>
      <c r="N4" s="10" t="s">
        <v>60</v>
      </c>
      <c r="Q4" t="s">
        <v>58</v>
      </c>
    </row>
    <row r="5" spans="1:21" ht="14.5" x14ac:dyDescent="0.35">
      <c r="A5" s="11" t="s">
        <v>5</v>
      </c>
      <c r="B5" s="12" t="str">
        <f>IF(Texte!$A$1=1,LOOKUP(Tabelle_Abfrage_von_MS_Access_Database4[[#This Row],[LAND]],Texte!$A$3:$A$33,Texte!$B$3:$B$33),LOOKUP(Tabelle_Abfrage_von_MS_Access_Database4[[#This Row],[LAND]],Texte!$A$3:$A$33,Texte!$C$3:$C$33))</f>
        <v>Internationaler Personentransport</v>
      </c>
      <c r="C5">
        <v>3</v>
      </c>
      <c r="E5" s="6"/>
      <c r="F5" t="str">
        <f>Tabelle_Abfrage_von_MS_Access_Database4[[#This Row],[LAND]]</f>
        <v>006</v>
      </c>
      <c r="H5" s="10" t="s">
        <v>21</v>
      </c>
      <c r="I5" s="10" t="s">
        <v>60</v>
      </c>
      <c r="M5" s="10" t="s">
        <v>21</v>
      </c>
      <c r="N5" s="10" t="s">
        <v>60</v>
      </c>
      <c r="Q5" t="str">
        <f>IF(Texte!$A$1=1,"Dienstleistungsverkehr " &amp; Einheit_Text,"Foreign trade in services " &amp; Einheit_Text)</f>
        <v>Dienstleistungsverkehr in Mio. Euro</v>
      </c>
    </row>
    <row r="6" spans="1:21" ht="14.5" x14ac:dyDescent="0.35">
      <c r="A6" s="11" t="s">
        <v>6</v>
      </c>
      <c r="B6" s="12" t="str">
        <f>IF(Texte!$A$1=1,LOOKUP(Tabelle_Abfrage_von_MS_Access_Database4[[#This Row],[LAND]],Texte!$A$3:$A$33,Texte!$B$3:$B$33),LOOKUP(Tabelle_Abfrage_von_MS_Access_Database4[[#This Row],[LAND]],Texte!$A$3:$A$33,Texte!$C$3:$C$33))</f>
        <v>Frachten</v>
      </c>
      <c r="C6">
        <v>4</v>
      </c>
      <c r="E6" s="6"/>
      <c r="F6" t="str">
        <f>Tabelle_Abfrage_von_MS_Access_Database4[[#This Row],[LAND]]</f>
        <v>007</v>
      </c>
      <c r="H6" s="10" t="s">
        <v>22</v>
      </c>
      <c r="I6" s="10" t="s">
        <v>60</v>
      </c>
      <c r="M6" s="10" t="s">
        <v>22</v>
      </c>
      <c r="N6" s="10" t="s">
        <v>60</v>
      </c>
    </row>
    <row r="7" spans="1:21" ht="14.5" x14ac:dyDescent="0.35">
      <c r="A7" s="11" t="s">
        <v>7</v>
      </c>
      <c r="B7" s="12" t="str">
        <f>IF(Texte!$A$1=1,LOOKUP(Tabelle_Abfrage_von_MS_Access_Database4[[#This Row],[LAND]],Texte!$A$3:$A$33,Texte!$B$3:$B$33),LOOKUP(Tabelle_Abfrage_von_MS_Access_Database4[[#This Row],[LAND]],Texte!$A$3:$A$33,Texte!$C$3:$C$33))</f>
        <v>Transporthilfsleistungen</v>
      </c>
      <c r="C7">
        <v>5</v>
      </c>
      <c r="E7" s="6"/>
      <c r="F7" t="str">
        <f>Tabelle_Abfrage_von_MS_Access_Database4[[#This Row],[LAND]]</f>
        <v>008</v>
      </c>
      <c r="H7" s="10" t="s">
        <v>23</v>
      </c>
      <c r="I7" s="10" t="s">
        <v>60</v>
      </c>
      <c r="M7" s="10" t="s">
        <v>23</v>
      </c>
      <c r="N7" s="10" t="s">
        <v>60</v>
      </c>
      <c r="Q7" t="s">
        <v>61</v>
      </c>
      <c r="R7" t="s">
        <v>37</v>
      </c>
    </row>
    <row r="8" spans="1:21" ht="14.5" x14ac:dyDescent="0.35">
      <c r="A8" s="11" t="s">
        <v>8</v>
      </c>
      <c r="B8" s="12" t="str">
        <f>IF(Texte!$A$1=1,LOOKUP(Tabelle_Abfrage_von_MS_Access_Database4[[#This Row],[LAND]],Texte!$A$3:$A$33,Texte!$B$3:$B$33),LOOKUP(Tabelle_Abfrage_von_MS_Access_Database4[[#This Row],[LAND]],Texte!$A$3:$A$33,Texte!$C$3:$C$33))</f>
        <v>Post- und Kurierdienste</v>
      </c>
      <c r="C8">
        <v>6</v>
      </c>
      <c r="E8" s="6"/>
      <c r="F8" t="str">
        <f>Tabelle_Abfrage_von_MS_Access_Database4[[#This Row],[LAND]]</f>
        <v>009</v>
      </c>
      <c r="H8" s="10" t="s">
        <v>24</v>
      </c>
      <c r="I8" s="10" t="s">
        <v>60</v>
      </c>
      <c r="M8" s="10" t="s">
        <v>24</v>
      </c>
      <c r="N8" s="10" t="s">
        <v>60</v>
      </c>
      <c r="Q8" t="str">
        <f>VLOOKUP(TEXT(Auswahl_Jahr,"####"),Tabelle_Abfrage_von_MS_Access_Database_1[[Jahr]:[Status]],2,FALSE)</f>
        <v>v</v>
      </c>
      <c r="R8" t="str">
        <f>VLOOKUP(TEXT(Auswahl_Jahr,"####"),Tabelle_Abfrage_von_MS_Access_Database_1[[Jahr]:[Status]],1,FALSE)</f>
        <v>2025</v>
      </c>
      <c r="S8" t="str">
        <f>IF(AND(Texte!$A$1=1,Q8="v"),"vorläufige Daten ",IF(AND(Texte!$A$1=1,Q8="r"),"revidierte Daten ",IF(AND(Texte!$A$1=1,Q8="e"),"endgültige Daten ",IF(AND(Texte!$A$1=2,Q8="v"),"preliminary data ",IF(AND(Texte!$A$1=2,Q8="r"),"revised data ","final data ")))))</f>
        <v xml:space="preserve">vorläufige Daten </v>
      </c>
    </row>
    <row r="9" spans="1:21" ht="14.5" x14ac:dyDescent="0.35">
      <c r="A9" s="11" t="s">
        <v>9</v>
      </c>
      <c r="B9" s="12" t="str">
        <f>IF(Texte!$A$1=1,LOOKUP(Tabelle_Abfrage_von_MS_Access_Database4[[#This Row],[LAND]],Texte!$A$3:$A$33,Texte!$B$3:$B$33),LOOKUP(Tabelle_Abfrage_von_MS_Access_Database4[[#This Row],[LAND]],Texte!$A$3:$A$33,Texte!$C$3:$C$33))</f>
        <v>Geschäftsreisen</v>
      </c>
      <c r="C9">
        <v>7</v>
      </c>
      <c r="D9" s="4"/>
      <c r="E9" s="4"/>
      <c r="F9" t="str">
        <f>Tabelle_Abfrage_von_MS_Access_Database4[[#This Row],[LAND]]</f>
        <v>017</v>
      </c>
      <c r="H9" s="10" t="s">
        <v>25</v>
      </c>
      <c r="I9" s="10" t="s">
        <v>60</v>
      </c>
      <c r="M9" s="10" t="s">
        <v>25</v>
      </c>
      <c r="N9" s="10" t="s">
        <v>60</v>
      </c>
    </row>
    <row r="10" spans="1:21" ht="14.5" x14ac:dyDescent="0.35">
      <c r="A10" s="11" t="s">
        <v>64</v>
      </c>
      <c r="B10" s="12" t="str">
        <f>IF(Texte!$A$1=1,LOOKUP(Tabelle_Abfrage_von_MS_Access_Database4[[#This Row],[LAND]],Texte!$A$3:$A$33,Texte!$B$3:$B$33),LOOKUP(Tabelle_Abfrage_von_MS_Access_Database4[[#This Row],[LAND]],Texte!$A$3:$A$33,Texte!$C$3:$C$33))</f>
        <v>Privatreisen</v>
      </c>
      <c r="C10">
        <v>8</v>
      </c>
      <c r="F10" t="str">
        <f>Tabelle_Abfrage_von_MS_Access_Database4[[#This Row],[LAND]]</f>
        <v>019</v>
      </c>
      <c r="H10" s="10" t="s">
        <v>26</v>
      </c>
      <c r="I10" s="10" t="s">
        <v>60</v>
      </c>
      <c r="M10" s="10" t="s">
        <v>26</v>
      </c>
      <c r="N10" s="10" t="s">
        <v>60</v>
      </c>
      <c r="Q10" t="s">
        <v>72</v>
      </c>
      <c r="R10" t="s">
        <v>73</v>
      </c>
    </row>
    <row r="11" spans="1:21" ht="14.5" x14ac:dyDescent="0.35">
      <c r="A11" s="11" t="s">
        <v>10</v>
      </c>
      <c r="B11" s="12" t="str">
        <f>IF(Texte!$A$1=1,LOOKUP(Tabelle_Abfrage_von_MS_Access_Database4[[#This Row],[LAND]],Texte!$A$3:$A$33,Texte!$B$3:$B$33),LOOKUP(Tabelle_Abfrage_von_MS_Access_Database4[[#This Row],[LAND]],Texte!$A$3:$A$33,Texte!$C$3:$C$33))</f>
        <v>Bauleistungen im Ausland</v>
      </c>
      <c r="C11">
        <v>9</v>
      </c>
      <c r="F11" t="str">
        <f>Tabelle_Abfrage_von_MS_Access_Database4[[#This Row],[LAND]]</f>
        <v>024</v>
      </c>
      <c r="H11" s="10" t="s">
        <v>27</v>
      </c>
      <c r="I11" s="10" t="s">
        <v>60</v>
      </c>
      <c r="M11" s="10" t="s">
        <v>27</v>
      </c>
      <c r="N11" s="10" t="s">
        <v>60</v>
      </c>
      <c r="Q11" t="str">
        <f>VLOOKUP(R11,B3:F80,5,FALSE)</f>
        <v>019</v>
      </c>
      <c r="R11" t="str">
        <f>Außenhandelspartner</f>
        <v>Privatreisen</v>
      </c>
    </row>
    <row r="12" spans="1:21" ht="14.5" x14ac:dyDescent="0.35">
      <c r="A12" s="11" t="s">
        <v>65</v>
      </c>
      <c r="B12" s="12" t="str">
        <f>IF(Texte!$A$1=1,LOOKUP(Tabelle_Abfrage_von_MS_Access_Database4[[#This Row],[LAND]],Texte!$A$3:$A$33,Texte!$B$3:$B$33),LOOKUP(Tabelle_Abfrage_von_MS_Access_Database4[[#This Row],[LAND]],Texte!$A$3:$A$33,Texte!$C$3:$C$33))</f>
        <v>Bauleistungen im Inland</v>
      </c>
      <c r="C12">
        <v>10</v>
      </c>
      <c r="F12" t="str">
        <f>Tabelle_Abfrage_von_MS_Access_Database4[[#This Row],[LAND]]</f>
        <v>025</v>
      </c>
      <c r="H12" s="10" t="s">
        <v>28</v>
      </c>
      <c r="I12" s="10" t="s">
        <v>60</v>
      </c>
      <c r="M12" s="10" t="s">
        <v>28</v>
      </c>
      <c r="N12" s="10" t="s">
        <v>60</v>
      </c>
    </row>
    <row r="13" spans="1:21" ht="14.5" x14ac:dyDescent="0.35">
      <c r="A13" s="11" t="s">
        <v>11</v>
      </c>
      <c r="B13" s="12" t="str">
        <f>IF(Texte!$A$1=1,LOOKUP(Tabelle_Abfrage_von_MS_Access_Database4[[#This Row],[LAND]],Texte!$A$3:$A$33,Texte!$B$3:$B$33),LOOKUP(Tabelle_Abfrage_von_MS_Access_Database4[[#This Row],[LAND]],Texte!$A$3:$A$33,Texte!$C$3:$C$33))</f>
        <v>Direktversicherungen</v>
      </c>
      <c r="C13">
        <v>11</v>
      </c>
      <c r="F13" t="str">
        <f>Tabelle_Abfrage_von_MS_Access_Database4[[#This Row],[LAND]]</f>
        <v>027</v>
      </c>
      <c r="H13" s="10" t="s">
        <v>29</v>
      </c>
      <c r="I13" s="10" t="s">
        <v>60</v>
      </c>
      <c r="M13" s="10" t="s">
        <v>29</v>
      </c>
      <c r="N13" s="10" t="s">
        <v>60</v>
      </c>
      <c r="Q13" t="s">
        <v>150</v>
      </c>
    </row>
    <row r="14" spans="1:21" ht="14.5" x14ac:dyDescent="0.35">
      <c r="A14" s="11" t="s">
        <v>66</v>
      </c>
      <c r="B14" s="12" t="str">
        <f>IF(Texte!$A$1=1,LOOKUP(Tabelle_Abfrage_von_MS_Access_Database4[[#This Row],[LAND]],Texte!$A$3:$A$33,Texte!$B$3:$B$33),LOOKUP(Tabelle_Abfrage_von_MS_Access_Database4[[#This Row],[LAND]],Texte!$A$3:$A$33,Texte!$C$3:$C$33))</f>
        <v>Rückversicherung</v>
      </c>
      <c r="C14">
        <v>12</v>
      </c>
      <c r="F14" t="str">
        <f>Tabelle_Abfrage_von_MS_Access_Database4[[#This Row],[LAND]]</f>
        <v>031</v>
      </c>
      <c r="H14" s="10" t="s">
        <v>30</v>
      </c>
      <c r="I14" s="10" t="s">
        <v>60</v>
      </c>
      <c r="M14" s="10" t="s">
        <v>30</v>
      </c>
      <c r="N14" s="10" t="s">
        <v>60</v>
      </c>
      <c r="Q14" t="str">
        <f>VON</f>
        <v>1995</v>
      </c>
      <c r="R14">
        <f>BIS</f>
        <v>2025</v>
      </c>
      <c r="S14" t="str">
        <f>IF(Texte!$A$1=1,"Zeitreihe verfügbar von ","Time series from ")</f>
        <v xml:space="preserve">Zeitreihe verfügbar von </v>
      </c>
      <c r="T14" t="str">
        <f>IF(Texte!$A$1=1," bis "," to ")</f>
        <v xml:space="preserve"> bis </v>
      </c>
      <c r="U14" t="str">
        <f>IF(Texte!$A$1=1,"für das Jahr ","for the year ")</f>
        <v xml:space="preserve">für das Jahr </v>
      </c>
    </row>
    <row r="15" spans="1:21" ht="14.5" x14ac:dyDescent="0.35">
      <c r="A15" s="11" t="s">
        <v>12</v>
      </c>
      <c r="B15" s="12" t="str">
        <f>IF(Texte!$A$1=1,LOOKUP(Tabelle_Abfrage_von_MS_Access_Database4[[#This Row],[LAND]],Texte!$A$3:$A$33,Texte!$B$3:$B$33),LOOKUP(Tabelle_Abfrage_von_MS_Access_Database4[[#This Row],[LAND]],Texte!$A$3:$A$33,Texte!$C$3:$C$33))</f>
        <v>Versicherungshilfsdienste</v>
      </c>
      <c r="C15">
        <v>13</v>
      </c>
      <c r="F15" t="str">
        <f>Tabelle_Abfrage_von_MS_Access_Database4[[#This Row],[LAND]]</f>
        <v>032</v>
      </c>
      <c r="H15" s="10" t="s">
        <v>31</v>
      </c>
      <c r="I15" s="10" t="s">
        <v>60</v>
      </c>
      <c r="M15" s="10" t="s">
        <v>31</v>
      </c>
      <c r="N15" s="10" t="s">
        <v>60</v>
      </c>
    </row>
    <row r="16" spans="1:21" ht="14.5" x14ac:dyDescent="0.35">
      <c r="A16" s="11" t="s">
        <v>67</v>
      </c>
      <c r="B16" s="12" t="str">
        <f>IF(Texte!$A$1=1,LOOKUP(Tabelle_Abfrage_von_MS_Access_Database4[[#This Row],[LAND]],Texte!$A$3:$A$33,Texte!$B$3:$B$33),LOOKUP(Tabelle_Abfrage_von_MS_Access_Database4[[#This Row],[LAND]],Texte!$A$3:$A$33,Texte!$C$3:$C$33))</f>
        <v>Finanzdienstleistungen im engeren Sinn</v>
      </c>
      <c r="C16">
        <v>14</v>
      </c>
      <c r="F16" t="str">
        <f>Tabelle_Abfrage_von_MS_Access_Database4[[#This Row],[LAND]]</f>
        <v>034</v>
      </c>
      <c r="H16" s="10" t="s">
        <v>32</v>
      </c>
      <c r="I16" s="10" t="s">
        <v>60</v>
      </c>
      <c r="M16" s="10" t="s">
        <v>32</v>
      </c>
      <c r="N16" s="10" t="s">
        <v>60</v>
      </c>
      <c r="Q16" t="s">
        <v>151</v>
      </c>
    </row>
    <row r="17" spans="1:17" ht="14.5" x14ac:dyDescent="0.35">
      <c r="A17" s="11" t="s">
        <v>68</v>
      </c>
      <c r="B17" s="12" t="str">
        <f>IF(Texte!$A$1=1,LOOKUP(Tabelle_Abfrage_von_MS_Access_Database4[[#This Row],[LAND]],Texte!$A$3:$A$33,Texte!$B$3:$B$33),LOOKUP(Tabelle_Abfrage_von_MS_Access_Database4[[#This Row],[LAND]],Texte!$A$3:$A$33,Texte!$C$3:$C$33))</f>
        <v>unterstellte Bankgebühr (FISIM)</v>
      </c>
      <c r="C17">
        <v>15</v>
      </c>
      <c r="F17" t="str">
        <f>Tabelle_Abfrage_von_MS_Access_Database4[[#This Row],[LAND]]</f>
        <v>035</v>
      </c>
      <c r="H17" s="10" t="s">
        <v>33</v>
      </c>
      <c r="I17" s="10" t="s">
        <v>60</v>
      </c>
      <c r="M17" s="10" t="s">
        <v>33</v>
      </c>
      <c r="N17" s="10" t="s">
        <v>60</v>
      </c>
      <c r="Q17" t="str">
        <f>IF(Texte!$A$1=2,"Change to previous year (in %)","Veränderung in % zum Vorjahr")</f>
        <v>Veränderung in % zum Vorjahr</v>
      </c>
    </row>
    <row r="18" spans="1:17" ht="14.5" x14ac:dyDescent="0.35">
      <c r="A18" s="11" t="s">
        <v>69</v>
      </c>
      <c r="B18" s="12" t="str">
        <f>IF(Texte!$A$1=1,LOOKUP(Tabelle_Abfrage_von_MS_Access_Database4[[#This Row],[LAND]],Texte!$A$3:$A$33,Texte!$B$3:$B$33),LOOKUP(Tabelle_Abfrage_von_MS_Access_Database4[[#This Row],[LAND]],Texte!$A$3:$A$33,Texte!$C$3:$C$33))</f>
        <v>Patente, Lizenzen, Franchisen</v>
      </c>
      <c r="C18">
        <v>16</v>
      </c>
      <c r="F18" t="str">
        <f>Tabelle_Abfrage_von_MS_Access_Database4[[#This Row],[LAND]]</f>
        <v>036</v>
      </c>
      <c r="H18" s="10" t="s">
        <v>34</v>
      </c>
      <c r="I18" s="10" t="s">
        <v>60</v>
      </c>
      <c r="M18" s="10" t="s">
        <v>34</v>
      </c>
      <c r="N18" s="10" t="s">
        <v>60</v>
      </c>
    </row>
    <row r="19" spans="1:17" ht="14.5" x14ac:dyDescent="0.35">
      <c r="A19" s="11" t="s">
        <v>13</v>
      </c>
      <c r="B19" s="12" t="str">
        <f>IF(Texte!$A$1=1,LOOKUP(Tabelle_Abfrage_von_MS_Access_Database4[[#This Row],[LAND]],Texte!$A$3:$A$33,Texte!$B$3:$B$33),LOOKUP(Tabelle_Abfrage_von_MS_Access_Database4[[#This Row],[LAND]],Texte!$A$3:$A$33,Texte!$C$3:$C$33))</f>
        <v>Telekommunikation</v>
      </c>
      <c r="C19">
        <v>17</v>
      </c>
      <c r="F19" t="str">
        <f>Tabelle_Abfrage_von_MS_Access_Database4[[#This Row],[LAND]]</f>
        <v>043</v>
      </c>
      <c r="H19" s="10" t="s">
        <v>35</v>
      </c>
      <c r="I19" s="10" t="s">
        <v>60</v>
      </c>
      <c r="M19" s="10" t="s">
        <v>35</v>
      </c>
      <c r="N19" s="10" t="s">
        <v>60</v>
      </c>
      <c r="Q19" t="s">
        <v>152</v>
      </c>
    </row>
    <row r="20" spans="1:17" ht="14.5" x14ac:dyDescent="0.35">
      <c r="A20" s="11" t="s">
        <v>14</v>
      </c>
      <c r="B20" s="12" t="str">
        <f>IF(Texte!$A$1=1,LOOKUP(Tabelle_Abfrage_von_MS_Access_Database4[[#This Row],[LAND]],Texte!$A$3:$A$33,Texte!$B$3:$B$33),LOOKUP(Tabelle_Abfrage_von_MS_Access_Database4[[#This Row],[LAND]],Texte!$A$3:$A$33,Texte!$C$3:$C$33))</f>
        <v>EDV-Dienstleistungen</v>
      </c>
      <c r="C20">
        <v>18</v>
      </c>
      <c r="F20" t="str">
        <f>Tabelle_Abfrage_von_MS_Access_Database4[[#This Row],[LAND]]</f>
        <v>044</v>
      </c>
      <c r="H20" s="10" t="s">
        <v>36</v>
      </c>
      <c r="I20" s="10" t="s">
        <v>60</v>
      </c>
      <c r="M20" s="10" t="s">
        <v>36</v>
      </c>
      <c r="N20" s="10" t="s">
        <v>60</v>
      </c>
      <c r="Q20" t="str">
        <f>IF(Texte!$A$1=2,"Inflows trend - index","Eingangsentwicklung - Index")</f>
        <v>Eingangsentwicklung - Index</v>
      </c>
    </row>
    <row r="21" spans="1:17" ht="14.5" x14ac:dyDescent="0.35">
      <c r="A21" s="11" t="s">
        <v>70</v>
      </c>
      <c r="B21" s="12" t="str">
        <f>IF(Texte!$A$1=1,LOOKUP(Tabelle_Abfrage_von_MS_Access_Database4[[#This Row],[LAND]],Texte!$A$3:$A$33,Texte!$B$3:$B$33),LOOKUP(Tabelle_Abfrage_von_MS_Access_Database4[[#This Row],[LAND]],Texte!$A$3:$A$33,Texte!$C$3:$C$33))</f>
        <v>Informationsdienstleistungen</v>
      </c>
      <c r="C21">
        <v>19</v>
      </c>
      <c r="F21" t="str">
        <f>Tabelle_Abfrage_von_MS_Access_Database4[[#This Row],[LAND]]</f>
        <v>049</v>
      </c>
      <c r="H21" s="10" t="s">
        <v>52</v>
      </c>
      <c r="I21" s="10" t="s">
        <v>60</v>
      </c>
      <c r="M21" s="10" t="s">
        <v>52</v>
      </c>
      <c r="N21" s="10" t="s">
        <v>60</v>
      </c>
    </row>
    <row r="22" spans="1:17" ht="14.5" x14ac:dyDescent="0.35">
      <c r="A22" s="11" t="s">
        <v>71</v>
      </c>
      <c r="B22" s="12" t="str">
        <f>IF(Texte!$A$1=1,LOOKUP(Tabelle_Abfrage_von_MS_Access_Database4[[#This Row],[LAND]],Texte!$A$3:$A$33,Texte!$B$3:$B$33),LOOKUP(Tabelle_Abfrage_von_MS_Access_Database4[[#This Row],[LAND]],Texte!$A$3:$A$33,Texte!$C$3:$C$33))</f>
        <v>Forschungs- und Entwicklungsleistungen</v>
      </c>
      <c r="C22">
        <v>20</v>
      </c>
      <c r="F22" t="str">
        <f>Tabelle_Abfrage_von_MS_Access_Database4[[#This Row],[LAND]]</f>
        <v>051</v>
      </c>
      <c r="H22" s="10" t="s">
        <v>63</v>
      </c>
      <c r="I22" s="10" t="s">
        <v>60</v>
      </c>
      <c r="M22" s="10" t="s">
        <v>63</v>
      </c>
      <c r="N22" s="10" t="s">
        <v>60</v>
      </c>
      <c r="Q22" t="s">
        <v>153</v>
      </c>
    </row>
    <row r="23" spans="1:17" ht="14.5" x14ac:dyDescent="0.35">
      <c r="A23" s="11" t="s">
        <v>15</v>
      </c>
      <c r="B23" s="12" t="str">
        <f>IF(Texte!$A$1=1,LOOKUP(Tabelle_Abfrage_von_MS_Access_Database4[[#This Row],[LAND]],Texte!$A$3:$A$33,Texte!$B$3:$B$33),LOOKUP(Tabelle_Abfrage_von_MS_Access_Database4[[#This Row],[LAND]],Texte!$A$3:$A$33,Texte!$C$3:$C$33))</f>
        <v>Rechts- und Wirtschaftsdienste, Werbung und Marktforschung</v>
      </c>
      <c r="C23">
        <v>21</v>
      </c>
      <c r="F23" t="str">
        <f>Tabelle_Abfrage_von_MS_Access_Database4[[#This Row],[LAND]]</f>
        <v>055</v>
      </c>
      <c r="H23" s="10" t="s">
        <v>112</v>
      </c>
      <c r="I23" s="10" t="s">
        <v>60</v>
      </c>
      <c r="M23" s="10" t="s">
        <v>112</v>
      </c>
      <c r="N23" s="10" t="s">
        <v>60</v>
      </c>
      <c r="Q23" t="str">
        <f>IF(Texte!$A$1=2,"Outflows trend - index","Ausgangsentwicklung - Index")</f>
        <v>Ausgangsentwicklung - Index</v>
      </c>
    </row>
    <row r="24" spans="1:17" ht="14.5" x14ac:dyDescent="0.35">
      <c r="A24" s="11" t="s">
        <v>16</v>
      </c>
      <c r="B24" s="12" t="str">
        <f>IF(Texte!$A$1=1,LOOKUP(Tabelle_Abfrage_von_MS_Access_Database4[[#This Row],[LAND]],Texte!$A$3:$A$33,Texte!$B$3:$B$33),LOOKUP(Tabelle_Abfrage_von_MS_Access_Database4[[#This Row],[LAND]],Texte!$A$3:$A$33,Texte!$C$3:$C$33))</f>
        <v>Technische, Handels- und sonstige unternehmensbezogene Dienstleistungen</v>
      </c>
      <c r="C24">
        <v>22</v>
      </c>
      <c r="F24" t="str">
        <f>Tabelle_Abfrage_von_MS_Access_Database4[[#This Row],[LAND]]</f>
        <v>076</v>
      </c>
      <c r="H24" s="10" t="s">
        <v>115</v>
      </c>
      <c r="I24" s="10" t="s">
        <v>60</v>
      </c>
      <c r="M24" s="10" t="s">
        <v>115</v>
      </c>
      <c r="N24" s="10" t="s">
        <v>60</v>
      </c>
    </row>
    <row r="25" spans="1:17" ht="14.5" x14ac:dyDescent="0.35">
      <c r="A25" s="11" t="s">
        <v>104</v>
      </c>
      <c r="B25" s="12" t="str">
        <f>IF(Texte!$A$1=1,LOOKUP(Tabelle_Abfrage_von_MS_Access_Database4[[#This Row],[LAND]],Texte!$A$3:$A$33,Texte!$B$3:$B$33),LOOKUP(Tabelle_Abfrage_von_MS_Access_Database4[[#This Row],[LAND]],Texte!$A$3:$A$33,Texte!$C$3:$C$33))</f>
        <v>Audiovisuelle und künstlerische Dienstleistungen</v>
      </c>
      <c r="C25">
        <v>23</v>
      </c>
      <c r="F25" t="str">
        <f>Tabelle_Abfrage_von_MS_Access_Database4[[#This Row],[LAND]]</f>
        <v>086</v>
      </c>
      <c r="H25" s="10" t="s">
        <v>116</v>
      </c>
      <c r="I25" s="10" t="s">
        <v>60</v>
      </c>
      <c r="M25" s="10" t="s">
        <v>116</v>
      </c>
      <c r="N25" s="10" t="s">
        <v>60</v>
      </c>
      <c r="Q25" t="s">
        <v>154</v>
      </c>
    </row>
    <row r="26" spans="1:17" ht="14.5" x14ac:dyDescent="0.35">
      <c r="A26" s="11" t="s">
        <v>105</v>
      </c>
      <c r="B26" s="12" t="str">
        <f>IF(Texte!$A$1=1,LOOKUP(Tabelle_Abfrage_von_MS_Access_Database4[[#This Row],[LAND]],Texte!$A$3:$A$33,Texte!$B$3:$B$33),LOOKUP(Tabelle_Abfrage_von_MS_Access_Database4[[#This Row],[LAND]],Texte!$A$3:$A$33,Texte!$C$3:$C$33))</f>
        <v>Gesundheitsdienstleistungen</v>
      </c>
      <c r="C26">
        <v>24</v>
      </c>
      <c r="F26" t="str">
        <f>Tabelle_Abfrage_von_MS_Access_Database4[[#This Row],[LAND]]</f>
        <v>087</v>
      </c>
      <c r="H26" s="10" t="s">
        <v>157</v>
      </c>
      <c r="I26" s="10" t="s">
        <v>60</v>
      </c>
      <c r="M26" s="10" t="s">
        <v>157</v>
      </c>
      <c r="N26" s="10" t="s">
        <v>60</v>
      </c>
      <c r="Q26" s="53" t="str">
        <f>IF(Texte!$A$1=2,"International trade in services:","Infos zum Internationalen Dienstleistungsverkehr:")</f>
        <v>Infos zum Internationalen Dienstleistungsverkehr:</v>
      </c>
    </row>
    <row r="27" spans="1:17" ht="14.5" x14ac:dyDescent="0.35">
      <c r="A27" s="11" t="s">
        <v>106</v>
      </c>
      <c r="B27" s="12" t="str">
        <f>IF(Texte!$A$1=1,LOOKUP(Tabelle_Abfrage_von_MS_Access_Database4[[#This Row],[LAND]],Texte!$A$3:$A$33,Texte!$B$3:$B$33),LOOKUP(Tabelle_Abfrage_von_MS_Access_Database4[[#This Row],[LAND]],Texte!$A$3:$A$33,Texte!$C$3:$C$33))</f>
        <v>Bildungsdienstleistungen</v>
      </c>
      <c r="C27">
        <v>25</v>
      </c>
      <c r="F27" t="str">
        <f>Tabelle_Abfrage_von_MS_Access_Database4[[#This Row],[LAND]]</f>
        <v>088</v>
      </c>
      <c r="H27" s="10" t="s">
        <v>158</v>
      </c>
      <c r="I27" s="10" t="s">
        <v>60</v>
      </c>
      <c r="M27" s="10" t="s">
        <v>158</v>
      </c>
      <c r="N27" s="10" t="s">
        <v>60</v>
      </c>
      <c r="Q27" s="51" t="str">
        <f>IF(Texte!$A$1=2,"International trade in services is of utmost importance for economic development in Austria. Not only is Austria a favored ","Der internationale Dienstleistungsverkehr ist für die österreichische Wirtschaftsentwicklung von entscheidender Bedeutung. Nicht nur ist Österreich ein beliebtes")</f>
        <v>Der internationale Dienstleistungsverkehr ist für die österreichische Wirtschaftsentwicklung von entscheidender Bedeutung. Nicht nur ist Österreich ein beliebtes</v>
      </c>
    </row>
    <row r="28" spans="1:17" ht="14.5" x14ac:dyDescent="0.35">
      <c r="A28" s="11" t="s">
        <v>107</v>
      </c>
      <c r="B28" s="12" t="str">
        <f>IF(Texte!$A$1=1,LOOKUP(Tabelle_Abfrage_von_MS_Access_Database4[[#This Row],[LAND]],Texte!$A$3:$A$33,Texte!$B$3:$B$33),LOOKUP(Tabelle_Abfrage_von_MS_Access_Database4[[#This Row],[LAND]],Texte!$A$3:$A$33,Texte!$C$3:$C$33))</f>
        <v>Dienstleistungen für Kultur und Freizeit</v>
      </c>
      <c r="C28">
        <v>26</v>
      </c>
      <c r="F28" t="str">
        <f>Tabelle_Abfrage_von_MS_Access_Database4[[#This Row],[LAND]]</f>
        <v>089</v>
      </c>
      <c r="H28" s="10" t="s">
        <v>159</v>
      </c>
      <c r="I28" s="10" t="s">
        <v>60</v>
      </c>
      <c r="M28" s="10" t="s">
        <v>159</v>
      </c>
      <c r="N28" s="10" t="s">
        <v>60</v>
      </c>
      <c r="Q28" s="51" t="str">
        <f>IF(Texte!$A$1=2,"tourism destination but also business related services are developing successfully.","Tourismusland, sondern auch unternehmensnahe Dienstleistungen entwickeln sich erfolgreich.")</f>
        <v>Tourismusland, sondern auch unternehmensnahe Dienstleistungen entwickeln sich erfolgreich.</v>
      </c>
    </row>
    <row r="29" spans="1:17" ht="14.5" x14ac:dyDescent="0.35">
      <c r="A29" s="11" t="s">
        <v>108</v>
      </c>
      <c r="B29" s="12" t="str">
        <f>IF(Texte!$A$1=1,LOOKUP(Tabelle_Abfrage_von_MS_Access_Database4[[#This Row],[LAND]],Texte!$A$3:$A$33,Texte!$B$3:$B$33),LOOKUP(Tabelle_Abfrage_von_MS_Access_Database4[[#This Row],[LAND]],Texte!$A$3:$A$33,Texte!$C$3:$C$33))</f>
        <v>übrige persönliche Dienstleistungen</v>
      </c>
      <c r="C29">
        <v>27</v>
      </c>
      <c r="F29" t="str">
        <f>Tabelle_Abfrage_von_MS_Access_Database4[[#This Row],[LAND]]</f>
        <v>090</v>
      </c>
      <c r="H29" s="10" t="s">
        <v>160</v>
      </c>
      <c r="I29" s="10" t="s">
        <v>60</v>
      </c>
      <c r="M29" s="10" t="s">
        <v>160</v>
      </c>
      <c r="N29" s="10" t="s">
        <v>60</v>
      </c>
      <c r="Q29" s="51" t="str">
        <f>IF(Texte!$A$1=2,"To draw up the balance of payments, the OeNB compiles data on Austria’s international service trade in close cooperation with Statistics Austria. While travel data are derived from varying sources, ","Die OeNB erhebt den  Dienstleistungsverkehr für Zwecke der Zahlungsbilanzstatistik in enger Kooperation mit Statistik Austria. Im Gegensatz zum Reiseverkehr,")</f>
        <v>Die OeNB erhebt den  Dienstleistungsverkehr für Zwecke der Zahlungsbilanzstatistik in enger Kooperation mit Statistik Austria. Im Gegensatz zum Reiseverkehr,</v>
      </c>
    </row>
    <row r="30" spans="1:17" ht="14.5" x14ac:dyDescent="0.35">
      <c r="A30" s="11" t="s">
        <v>109</v>
      </c>
      <c r="B30" s="12" t="str">
        <f>IF(Texte!$A$1=1,LOOKUP(Tabelle_Abfrage_von_MS_Access_Database4[[#This Row],[LAND]],Texte!$A$3:$A$33,Texte!$B$3:$B$33),LOOKUP(Tabelle_Abfrage_von_MS_Access_Database4[[#This Row],[LAND]],Texte!$A$3:$A$33,Texte!$C$3:$C$33))</f>
        <v>Regierungsdienstleistungen (Int. Org.)</v>
      </c>
      <c r="C30">
        <v>28</v>
      </c>
      <c r="F30" t="str">
        <f>Tabelle_Abfrage_von_MS_Access_Database4[[#This Row],[LAND]]</f>
        <v>091</v>
      </c>
      <c r="H30" s="10" t="s">
        <v>161</v>
      </c>
      <c r="I30" s="10" t="s">
        <v>60</v>
      </c>
      <c r="M30" s="10" t="s">
        <v>161</v>
      </c>
      <c r="N30" s="10" t="s">
        <v>60</v>
      </c>
      <c r="Q30" s="51" t="str">
        <f>IF(Texte!$A$1=2,"including statistics of overnight stays, guest surveys and telephone interviews, information about business services stems from a company survey (concentration sample). ","der auf Basis mehrerer Datenquellen erhoben wird (unter anderem Nächtigungsstatistik, Gästebefragung, Telefoninterviews), werden Informationen über unternehmensbezogene Dienstleistungen im Rahmen einer Firmenbefragung gewonnen (Konzentrationsstichprobe).")</f>
        <v>der auf Basis mehrerer Datenquellen erhoben wird (unter anderem Nächtigungsstatistik, Gästebefragung, Telefoninterviews), werden Informationen über unternehmensbezogene Dienstleistungen im Rahmen einer Firmenbefragung gewonnen (Konzentrationsstichprobe).</v>
      </c>
    </row>
    <row r="31" spans="1:17" ht="14.5" x14ac:dyDescent="0.35">
      <c r="A31" s="11" t="s">
        <v>110</v>
      </c>
      <c r="B31" s="12" t="str">
        <f>IF(Texte!$A$1=1,LOOKUP(Tabelle_Abfrage_von_MS_Access_Database4[[#This Row],[LAND]],Texte!$A$3:$A$33,Texte!$B$3:$B$33),LOOKUP(Tabelle_Abfrage_von_MS_Access_Database4[[#This Row],[LAND]],Texte!$A$3:$A$33,Texte!$C$3:$C$33))</f>
        <v>Dienstleistungen</v>
      </c>
      <c r="C31">
        <v>29</v>
      </c>
      <c r="F31" t="str">
        <f>Tabelle_Abfrage_von_MS_Access_Database4[[#This Row],[LAND]]</f>
        <v>Gesamt</v>
      </c>
      <c r="H31" s="10" t="s">
        <v>162</v>
      </c>
      <c r="I31" s="10" t="s">
        <v>114</v>
      </c>
      <c r="M31" s="10" t="s">
        <v>162</v>
      </c>
      <c r="N31" s="10" t="s">
        <v>114</v>
      </c>
      <c r="Q31" s="51" t="str">
        <f>IF(Texte!$A$1=2,"Business services comprise an array of service categories, such as freight and passenger transport,","Unter dem Begriff unternehmensnaher Dienstleistungen wird eine Vielzahl von Leistungsarten erfasst, unter anderem Frachten- und Personentransport,")</f>
        <v>Unter dem Begriff unternehmensnaher Dienstleistungen wird eine Vielzahl von Leistungsarten erfasst, unter anderem Frachten- und Personentransport,</v>
      </c>
    </row>
    <row r="32" spans="1:17" ht="14.5" x14ac:dyDescent="0.35">
      <c r="H32" s="10" t="s">
        <v>163</v>
      </c>
      <c r="I32" s="10" t="s">
        <v>114</v>
      </c>
      <c r="M32" s="10" t="s">
        <v>163</v>
      </c>
      <c r="N32" s="10" t="s">
        <v>114</v>
      </c>
      <c r="Q32" s="51" t="str">
        <f>IF(Texte!$A$1=2,"construction, computer and information services, business and management consulting services as well as research and development services.","Bauleistungen, EDV- und Informationsdienstleistungen, wirtschaftliche Beratungstätigkeiten, Leistungen der Forschung und Entwicklung.")</f>
        <v>Bauleistungen, EDV- und Informationsdienstleistungen, wirtschaftliche Beratungstätigkeiten, Leistungen der Forschung und Entwicklung.</v>
      </c>
    </row>
    <row r="33" spans="8:17" ht="14.5" x14ac:dyDescent="0.35">
      <c r="H33" s="10" t="s">
        <v>165</v>
      </c>
      <c r="I33" s="10" t="s">
        <v>164</v>
      </c>
      <c r="M33" s="10" t="s">
        <v>165</v>
      </c>
      <c r="N33" s="10" t="s">
        <v>164</v>
      </c>
      <c r="Q33" s="51" t="str">
        <f>IF(Texte!$A$1=2,"The classification corresponds with the Extended Balance of Payments Services Classification (EBOPS 2010). Revenues (exports) as well as expenses (imports) are compiled.","Die Klassifikation richtet sich nach der Extended Balance of Payments Services Classification (EBOPS 2010). Es wird zwischen Erlösen (Exporten) und Aufwendungen (Importen) unterschieden.")</f>
        <v>Die Klassifikation richtet sich nach der Extended Balance of Payments Services Classification (EBOPS 2010). Es wird zwischen Erlösen (Exporten) und Aufwendungen (Importen) unterschieden.</v>
      </c>
    </row>
  </sheetData>
  <sheetProtection selectLockedCells="1" selectUnlockedCells="1"/>
  <mergeCells count="3">
    <mergeCell ref="D1:F1"/>
    <mergeCell ref="H1:K1"/>
    <mergeCell ref="A1:B1"/>
  </mergeCells>
  <phoneticPr fontId="2" type="noConversion"/>
  <pageMargins left="0.7" right="0.7" top="0.78740157499999996" bottom="0.78740157499999996" header="0.3" footer="0.3"/>
  <pageSetup paperSize="9" orientation="portrait" r:id="rId1"/>
  <tableParts count="3">
    <tablePart r:id="rId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dimension ref="A1:M32"/>
  <sheetViews>
    <sheetView workbookViewId="0">
      <selection activeCell="F10" sqref="F10"/>
    </sheetView>
  </sheetViews>
  <sheetFormatPr baseColWidth="10" defaultRowHeight="12.5" x14ac:dyDescent="0.25"/>
  <sheetData>
    <row r="1" spans="1:13" ht="13.5" x14ac:dyDescent="0.35">
      <c r="A1">
        <v>1</v>
      </c>
      <c r="B1" t="str">
        <f>IF(A1=2,"Englisch","Deutsch")</f>
        <v>Deutsch</v>
      </c>
      <c r="F1" s="51" t="s">
        <v>117</v>
      </c>
    </row>
    <row r="2" spans="1:13" ht="13.5" x14ac:dyDescent="0.35">
      <c r="F2" s="51" t="str">
        <f>IF($A$1=2,"Austrian foreign trade in services - ","Österreichs Dienstleistungsverkehr - ")</f>
        <v xml:space="preserve">Österreichs Dienstleistungsverkehr - </v>
      </c>
    </row>
    <row r="3" spans="1:13" ht="13.5" x14ac:dyDescent="0.35">
      <c r="A3" t="s">
        <v>1</v>
      </c>
      <c r="B3" t="s">
        <v>2</v>
      </c>
      <c r="C3" t="s">
        <v>118</v>
      </c>
      <c r="F3" s="51"/>
    </row>
    <row r="4" spans="1:13" ht="13.5" x14ac:dyDescent="0.35">
      <c r="A4" s="52" t="s">
        <v>3</v>
      </c>
      <c r="B4" t="s">
        <v>76</v>
      </c>
      <c r="C4" t="s">
        <v>121</v>
      </c>
      <c r="F4" s="51" t="s">
        <v>119</v>
      </c>
    </row>
    <row r="5" spans="1:13" ht="13.5" x14ac:dyDescent="0.35">
      <c r="A5" t="s">
        <v>4</v>
      </c>
      <c r="B5" t="s">
        <v>77</v>
      </c>
      <c r="C5" t="s">
        <v>122</v>
      </c>
      <c r="F5" s="51" t="str">
        <f>IF($A$1=2,"for the year","für das Jahr")</f>
        <v>für das Jahr</v>
      </c>
    </row>
    <row r="6" spans="1:13" ht="13.5" x14ac:dyDescent="0.35">
      <c r="A6" t="s">
        <v>5</v>
      </c>
      <c r="B6" t="s">
        <v>78</v>
      </c>
      <c r="C6" t="s">
        <v>123</v>
      </c>
      <c r="F6" s="51"/>
    </row>
    <row r="7" spans="1:13" ht="13.5" x14ac:dyDescent="0.35">
      <c r="A7" t="s">
        <v>6</v>
      </c>
      <c r="B7" t="s">
        <v>79</v>
      </c>
      <c r="C7" t="s">
        <v>124</v>
      </c>
      <c r="F7" s="51" t="s">
        <v>120</v>
      </c>
    </row>
    <row r="8" spans="1:13" ht="13.5" x14ac:dyDescent="0.35">
      <c r="A8" t="s">
        <v>7</v>
      </c>
      <c r="B8" t="s">
        <v>80</v>
      </c>
      <c r="C8" t="s">
        <v>125</v>
      </c>
      <c r="F8" s="51" t="str">
        <f>IF($A$1=2,"Unit:","Einheit:")</f>
        <v>Einheit:</v>
      </c>
    </row>
    <row r="9" spans="1:13" x14ac:dyDescent="0.25">
      <c r="A9" t="s">
        <v>8</v>
      </c>
      <c r="B9" t="s">
        <v>81</v>
      </c>
      <c r="C9" t="s">
        <v>126</v>
      </c>
    </row>
    <row r="10" spans="1:13" x14ac:dyDescent="0.25">
      <c r="A10" t="s">
        <v>9</v>
      </c>
      <c r="B10" t="s">
        <v>82</v>
      </c>
      <c r="C10" t="s">
        <v>127</v>
      </c>
      <c r="F10" s="54" t="s">
        <v>156</v>
      </c>
      <c r="G10" s="55"/>
      <c r="H10" s="55"/>
      <c r="I10" s="55"/>
      <c r="J10" s="55"/>
      <c r="K10" s="55"/>
      <c r="L10" s="55"/>
      <c r="M10" s="55"/>
    </row>
    <row r="11" spans="1:13" x14ac:dyDescent="0.25">
      <c r="A11" t="s">
        <v>64</v>
      </c>
      <c r="B11" t="s">
        <v>83</v>
      </c>
      <c r="C11" t="s">
        <v>128</v>
      </c>
    </row>
    <row r="12" spans="1:13" x14ac:dyDescent="0.25">
      <c r="A12" t="s">
        <v>10</v>
      </c>
      <c r="B12" t="s">
        <v>84</v>
      </c>
      <c r="C12" t="s">
        <v>129</v>
      </c>
    </row>
    <row r="13" spans="1:13" x14ac:dyDescent="0.25">
      <c r="A13" t="s">
        <v>65</v>
      </c>
      <c r="B13" t="s">
        <v>85</v>
      </c>
      <c r="C13" t="s">
        <v>130</v>
      </c>
    </row>
    <row r="14" spans="1:13" x14ac:dyDescent="0.25">
      <c r="A14" t="s">
        <v>11</v>
      </c>
      <c r="B14" t="s">
        <v>86</v>
      </c>
      <c r="C14" t="s">
        <v>131</v>
      </c>
    </row>
    <row r="15" spans="1:13" x14ac:dyDescent="0.25">
      <c r="A15" t="s">
        <v>66</v>
      </c>
      <c r="B15" t="s">
        <v>87</v>
      </c>
      <c r="C15" t="s">
        <v>132</v>
      </c>
    </row>
    <row r="16" spans="1:13" x14ac:dyDescent="0.25">
      <c r="A16" t="s">
        <v>12</v>
      </c>
      <c r="B16" t="s">
        <v>88</v>
      </c>
      <c r="C16" t="s">
        <v>133</v>
      </c>
    </row>
    <row r="17" spans="1:3" x14ac:dyDescent="0.25">
      <c r="A17" t="s">
        <v>67</v>
      </c>
      <c r="B17" t="s">
        <v>89</v>
      </c>
      <c r="C17" t="s">
        <v>134</v>
      </c>
    </row>
    <row r="18" spans="1:3" x14ac:dyDescent="0.25">
      <c r="A18" t="s">
        <v>68</v>
      </c>
      <c r="B18" t="s">
        <v>90</v>
      </c>
      <c r="C18" t="s">
        <v>135</v>
      </c>
    </row>
    <row r="19" spans="1:3" x14ac:dyDescent="0.25">
      <c r="A19" t="s">
        <v>69</v>
      </c>
      <c r="B19" t="s">
        <v>91</v>
      </c>
      <c r="C19" t="s">
        <v>136</v>
      </c>
    </row>
    <row r="20" spans="1:3" x14ac:dyDescent="0.25">
      <c r="A20" t="s">
        <v>13</v>
      </c>
      <c r="B20" t="s">
        <v>92</v>
      </c>
      <c r="C20" t="s">
        <v>137</v>
      </c>
    </row>
    <row r="21" spans="1:3" x14ac:dyDescent="0.25">
      <c r="A21" t="s">
        <v>14</v>
      </c>
      <c r="B21" t="s">
        <v>93</v>
      </c>
      <c r="C21" t="s">
        <v>138</v>
      </c>
    </row>
    <row r="22" spans="1:3" x14ac:dyDescent="0.25">
      <c r="A22" t="s">
        <v>70</v>
      </c>
      <c r="B22" t="s">
        <v>94</v>
      </c>
      <c r="C22" t="s">
        <v>139</v>
      </c>
    </row>
    <row r="23" spans="1:3" x14ac:dyDescent="0.25">
      <c r="A23" t="s">
        <v>71</v>
      </c>
      <c r="B23" t="s">
        <v>95</v>
      </c>
      <c r="C23" t="s">
        <v>140</v>
      </c>
    </row>
    <row r="24" spans="1:3" x14ac:dyDescent="0.25">
      <c r="A24" t="s">
        <v>15</v>
      </c>
      <c r="B24" t="s">
        <v>96</v>
      </c>
      <c r="C24" t="s">
        <v>141</v>
      </c>
    </row>
    <row r="25" spans="1:3" x14ac:dyDescent="0.25">
      <c r="A25" t="s">
        <v>16</v>
      </c>
      <c r="B25" t="s">
        <v>97</v>
      </c>
      <c r="C25" t="s">
        <v>142</v>
      </c>
    </row>
    <row r="26" spans="1:3" x14ac:dyDescent="0.25">
      <c r="A26" t="s">
        <v>104</v>
      </c>
      <c r="B26" t="s">
        <v>98</v>
      </c>
      <c r="C26" t="s">
        <v>143</v>
      </c>
    </row>
    <row r="27" spans="1:3" x14ac:dyDescent="0.25">
      <c r="A27" t="s">
        <v>105</v>
      </c>
      <c r="B27" t="s">
        <v>99</v>
      </c>
      <c r="C27" t="s">
        <v>144</v>
      </c>
    </row>
    <row r="28" spans="1:3" x14ac:dyDescent="0.25">
      <c r="A28" t="s">
        <v>106</v>
      </c>
      <c r="B28" t="s">
        <v>100</v>
      </c>
      <c r="C28" t="s">
        <v>145</v>
      </c>
    </row>
    <row r="29" spans="1:3" x14ac:dyDescent="0.25">
      <c r="A29" t="s">
        <v>107</v>
      </c>
      <c r="B29" t="s">
        <v>101</v>
      </c>
      <c r="C29" t="s">
        <v>146</v>
      </c>
    </row>
    <row r="30" spans="1:3" x14ac:dyDescent="0.25">
      <c r="A30" t="s">
        <v>108</v>
      </c>
      <c r="B30" t="s">
        <v>102</v>
      </c>
      <c r="C30" t="s">
        <v>147</v>
      </c>
    </row>
    <row r="31" spans="1:3" x14ac:dyDescent="0.25">
      <c r="A31" t="s">
        <v>109</v>
      </c>
      <c r="B31" t="s">
        <v>103</v>
      </c>
      <c r="C31" t="s">
        <v>148</v>
      </c>
    </row>
    <row r="32" spans="1:3" x14ac:dyDescent="0.25">
      <c r="A32" t="s">
        <v>110</v>
      </c>
      <c r="B32" t="s">
        <v>75</v>
      </c>
      <c r="C32" t="s">
        <v>149</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35</vt:i4>
      </vt:variant>
    </vt:vector>
  </HeadingPairs>
  <TitlesOfParts>
    <vt:vector size="36" baseType="lpstr">
      <vt:lpstr>Dashboard</vt:lpstr>
      <vt:lpstr>Außenhandelspartner</vt:lpstr>
      <vt:lpstr>Auswahl_Jahr</vt:lpstr>
      <vt:lpstr>Basis_Jahr</vt:lpstr>
      <vt:lpstr>BIS</vt:lpstr>
      <vt:lpstr>Dashboard!Druckbereich</vt:lpstr>
      <vt:lpstr>Einheit_Text</vt:lpstr>
      <vt:lpstr>Einheit_Wert</vt:lpstr>
      <vt:lpstr>Export_Basis_Jahr</vt:lpstr>
      <vt:lpstr>Export_Jahreszahlen</vt:lpstr>
      <vt:lpstr>Export_Matrix</vt:lpstr>
      <vt:lpstr>Export_Partnerland</vt:lpstr>
      <vt:lpstr>Export_Ranking</vt:lpstr>
      <vt:lpstr>Export_Spaltenindex</vt:lpstr>
      <vt:lpstr>Import_Basis_Jahr</vt:lpstr>
      <vt:lpstr>Import_Jahreszahlen</vt:lpstr>
      <vt:lpstr>Import_Matrix</vt:lpstr>
      <vt:lpstr>Import_Partnerland</vt:lpstr>
      <vt:lpstr>Import_Ranking</vt:lpstr>
      <vt:lpstr>Import_Spaltenindex</vt:lpstr>
      <vt:lpstr>Kartentitel</vt:lpstr>
      <vt:lpstr>Kartentitel_Ausgangsentwicklung</vt:lpstr>
      <vt:lpstr>Kartentitel_Eingangsentwicklung</vt:lpstr>
      <vt:lpstr>Kartentitel_Veränderung</vt:lpstr>
      <vt:lpstr>Kürzel_Außenhandelspartner</vt:lpstr>
      <vt:lpstr>Land_Wert</vt:lpstr>
      <vt:lpstr>Max_Jahr</vt:lpstr>
      <vt:lpstr>Metadata1</vt:lpstr>
      <vt:lpstr>Metadata2</vt:lpstr>
      <vt:lpstr>Metadata3</vt:lpstr>
      <vt:lpstr>Metadata4</vt:lpstr>
      <vt:lpstr>Metadata5</vt:lpstr>
      <vt:lpstr>Metadata6</vt:lpstr>
      <vt:lpstr>Metadata7</vt:lpstr>
      <vt:lpstr>Metadata8</vt:lpstr>
      <vt:lpstr>VON</vt:lpstr>
    </vt:vector>
  </TitlesOfParts>
  <Company>WKO Inhouse GmbH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Koller Christoph, MSc, WKÖ Statistik</dc:creator>
  <cp:lastModifiedBy>Koller Christoph | WKOE</cp:lastModifiedBy>
  <cp:lastPrinted>2016-03-31T09:41:01Z</cp:lastPrinted>
  <dcterms:created xsi:type="dcterms:W3CDTF">2009-09-08T10:55:18Z</dcterms:created>
  <dcterms:modified xsi:type="dcterms:W3CDTF">2026-04-01T08:03:22Z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AdHocReviewCycleID">
    <vt:i4>-955372006</vt:i4>
  </property>
  <property fmtid="{D5CDD505-2E9C-101B-9397-08002B2CF9AE}" pid="4" name="_EmailSubject">
    <vt:lpwstr>Demografie-Check: Früherkennung und grafische Darstellung aktueller wie auch künftiger Personalprobleme</vt:lpwstr>
  </property>
  <property fmtid="{D5CDD505-2E9C-101B-9397-08002B2CF9AE}" pid="5" name="_AuthorEmail">
    <vt:lpwstr>Dirk.Kauffmann@wko.at</vt:lpwstr>
  </property>
  <property fmtid="{D5CDD505-2E9C-101B-9397-08002B2CF9AE}" pid="6" name="_AuthorEmailDisplayName">
    <vt:lpwstr>Kauffmann Dirk, Dipl.-Volksw. WKÖ Wp</vt:lpwstr>
  </property>
  <property fmtid="{D5CDD505-2E9C-101B-9397-08002B2CF9AE}" pid="7" name="_ReviewingToolsShownOnce">
    <vt:lpwstr/>
  </property>
</Properties>
</file>