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Y:\Daten\Dashboards\xlsx\Regionaler Außenhandel\"/>
    </mc:Choice>
  </mc:AlternateContent>
  <xr:revisionPtr revIDLastSave="0" documentId="13_ncr:1_{C992C87C-50DE-4F60-93C6-8AD5722131E9}" xr6:coauthVersionLast="47" xr6:coauthVersionMax="47" xr10:uidLastSave="{00000000-0000-0000-0000-000000000000}"/>
  <bookViews>
    <workbookView xWindow="-110" yWindow="-110" windowWidth="19420" windowHeight="11500" tabRatio="757" xr2:uid="{00000000-000D-0000-FFFF-FFFF00000000}"/>
  </bookViews>
  <sheets>
    <sheet name="Dashboard" sheetId="19" r:id="rId1"/>
    <sheet name="Dropdown" sheetId="32" state="veryHidden" r:id="rId2"/>
    <sheet name="Dropdown_Jahr" sheetId="28" state="veryHidden" r:id="rId3"/>
    <sheet name="Dropdown_Bundesland" sheetId="29" state="veryHidden" r:id="rId4"/>
    <sheet name="Regionaler_AH_Jahresdaten" sheetId="27" state="veryHidden" r:id="rId5"/>
  </sheets>
  <definedNames>
    <definedName name="AH_BLD">Regionaler_AH_Jahresdaten!$B$57</definedName>
    <definedName name="AH_gesamt">Regionaler_AH_Jahresdaten!$B$55</definedName>
    <definedName name="Auswahl_Bundesland">Dropdown_Bundesland!$D$2</definedName>
    <definedName name="Auswahl_Jahr">Dropdown_Jahr!$C$2</definedName>
    <definedName name="Auswahl_Richtung">Regionaler_AH_Jahresdaten!$A$1</definedName>
    <definedName name="Auswahl_Status">Regionaler_AH_Jahresdaten!$A$1</definedName>
    <definedName name="Division">Dropdown!$D$2</definedName>
    <definedName name="_xlnm.Print_Area" localSheetId="0">Dashboard!$A$1:$K$36</definedName>
    <definedName name="Einheit">Dropdown!$C$2</definedName>
    <definedName name="Kartentitel">Regionaler_AH_Jahresdaten!$A$62</definedName>
    <definedName name="Kartentitel_Kreis">Regionaler_AH_Jahresdaten!$A$60</definedName>
    <definedName name="Kartentitel_Landkarte">Regionaler_AH_Jahresdaten!$A$59</definedName>
    <definedName name="Kartentitel_Veränderung">Regionaler_AH_Jahresdaten!$A$61</definedName>
    <definedName name="Keine_Veränderung">Regionaler_AH_Jahresdaten!$A$63</definedName>
    <definedName name="Matrix_Exporte_Jahresdaten">Regionaler_AH_Jahresdaten!$4:$14</definedName>
    <definedName name="Matrix_Handelsbilanzsaldo_Jahresdaten">Regionaler_AH_Jahresdaten!$28:$38</definedName>
    <definedName name="Matrix_Importe_Jahresdaten">Regionaler_AH_Jahresdaten!$16:$26</definedName>
    <definedName name="Max_Jahr_Jahresdaten">Regionaler_AH_Jahresdaten!$B$40</definedName>
    <definedName name="Min_Jahr_Jahresdaten">Regionaler_AH_Jahresdaten!$B$41</definedName>
    <definedName name="Periodizität">Dropdown!$C$1</definedName>
    <definedName name="Richtung">Regionaler_AH_Jahresdaten!$B$1</definedName>
    <definedName name="Spaltenindex_Jahresdaten">Regionaler_AH_Jahresdaten!$A$2</definedName>
    <definedName name="Status_Jahresdaten">Regionaler_AH_Jahresdaten!$A$42</definedName>
    <definedName name="Status_Jahresdaten_Bezeichnung">Regionaler_AH_Jahresdaten!$A$43</definedName>
    <definedName name="Verae_absolut_bld">Regionaler_AH_Jahresdaten!$E$57</definedName>
    <definedName name="Verae_absolut_gesamt">Regionaler_AH_Jahresdaten!$E$55</definedName>
    <definedName name="Verae_proz_bld">Regionaler_AH_Jahresdaten!$F$57</definedName>
    <definedName name="Verae_proz_gesamt">Regionaler_AH_Jahresdaten!$F$55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27" l="1"/>
  <c r="Q30" i="27"/>
  <c r="Q31" i="27"/>
  <c r="Q32" i="27"/>
  <c r="Q33" i="27"/>
  <c r="Q34" i="27"/>
  <c r="Q35" i="27"/>
  <c r="Q36" i="27"/>
  <c r="Q37" i="27"/>
  <c r="Q38" i="27"/>
  <c r="Q2" i="27"/>
  <c r="Q3" i="27"/>
  <c r="P2" i="27"/>
  <c r="P38" i="27"/>
  <c r="P37" i="27"/>
  <c r="P36" i="27"/>
  <c r="P35" i="27"/>
  <c r="P34" i="27"/>
  <c r="P33" i="27"/>
  <c r="P32" i="27"/>
  <c r="P31" i="27"/>
  <c r="P30" i="27"/>
  <c r="P29" i="27"/>
  <c r="P3" i="27"/>
  <c r="O29" i="27"/>
  <c r="O38" i="27"/>
  <c r="O37" i="27"/>
  <c r="O36" i="27"/>
  <c r="O35" i="27"/>
  <c r="O34" i="27"/>
  <c r="O33" i="27"/>
  <c r="O32" i="27"/>
  <c r="O31" i="27"/>
  <c r="O30" i="27"/>
  <c r="O3" i="27"/>
  <c r="O2" i="27"/>
  <c r="N29" i="27"/>
  <c r="N30" i="27"/>
  <c r="N31" i="27"/>
  <c r="N32" i="27"/>
  <c r="N33" i="27"/>
  <c r="N34" i="27"/>
  <c r="N35" i="27"/>
  <c r="N36" i="27"/>
  <c r="N37" i="27"/>
  <c r="N38" i="27"/>
  <c r="N2" i="27"/>
  <c r="N3" i="27"/>
  <c r="M29" i="27"/>
  <c r="M30" i="27"/>
  <c r="M31" i="27"/>
  <c r="M32" i="27"/>
  <c r="M33" i="27"/>
  <c r="M34" i="27"/>
  <c r="M35" i="27"/>
  <c r="M36" i="27"/>
  <c r="M37" i="27"/>
  <c r="M38" i="27"/>
  <c r="M3" i="27"/>
  <c r="M2" i="27"/>
  <c r="L29" i="27"/>
  <c r="L30" i="27"/>
  <c r="L31" i="27"/>
  <c r="L32" i="27"/>
  <c r="L33" i="27"/>
  <c r="L34" i="27"/>
  <c r="L35" i="27"/>
  <c r="L36" i="27"/>
  <c r="L37" i="27"/>
  <c r="L38" i="27"/>
  <c r="L2" i="27" l="1"/>
  <c r="L3" i="27"/>
  <c r="K2" i="27" l="1"/>
  <c r="K3" i="27"/>
  <c r="K29" i="27"/>
  <c r="K30" i="27"/>
  <c r="K31" i="27"/>
  <c r="K32" i="27"/>
  <c r="K33" i="27"/>
  <c r="K34" i="27"/>
  <c r="K35" i="27"/>
  <c r="K36" i="27"/>
  <c r="K37" i="27"/>
  <c r="K38" i="27"/>
  <c r="J29" i="27" l="1"/>
  <c r="J30" i="27"/>
  <c r="J31" i="27"/>
  <c r="J32" i="27"/>
  <c r="J33" i="27"/>
  <c r="J34" i="27"/>
  <c r="J35" i="27"/>
  <c r="J36" i="27"/>
  <c r="J37" i="27"/>
  <c r="J38" i="27"/>
  <c r="J2" i="27"/>
  <c r="J3" i="27"/>
  <c r="I29" i="27" l="1"/>
  <c r="I30" i="27" l="1"/>
  <c r="I31" i="27"/>
  <c r="I32" i="27"/>
  <c r="I33" i="27"/>
  <c r="I34" i="27"/>
  <c r="I35" i="27"/>
  <c r="I36" i="27"/>
  <c r="I37" i="27"/>
  <c r="I38" i="27"/>
  <c r="C29" i="27"/>
  <c r="D29" i="27"/>
  <c r="E29" i="27"/>
  <c r="F29" i="27"/>
  <c r="G29" i="27"/>
  <c r="H29" i="27"/>
  <c r="C30" i="27"/>
  <c r="D30" i="27"/>
  <c r="E30" i="27"/>
  <c r="F30" i="27"/>
  <c r="G30" i="27"/>
  <c r="H30" i="27"/>
  <c r="C31" i="27"/>
  <c r="D31" i="27"/>
  <c r="E31" i="27"/>
  <c r="F31" i="27"/>
  <c r="G31" i="27"/>
  <c r="H31" i="27"/>
  <c r="C32" i="27"/>
  <c r="D32" i="27"/>
  <c r="E32" i="27"/>
  <c r="F32" i="27"/>
  <c r="G32" i="27"/>
  <c r="H32" i="27"/>
  <c r="C33" i="27"/>
  <c r="D33" i="27"/>
  <c r="E33" i="27"/>
  <c r="F33" i="27"/>
  <c r="G33" i="27"/>
  <c r="H33" i="27"/>
  <c r="C34" i="27"/>
  <c r="D34" i="27"/>
  <c r="E34" i="27"/>
  <c r="F34" i="27"/>
  <c r="G34" i="27"/>
  <c r="H34" i="27"/>
  <c r="C35" i="27"/>
  <c r="D35" i="27"/>
  <c r="E35" i="27"/>
  <c r="F35" i="27"/>
  <c r="G35" i="27"/>
  <c r="H35" i="27"/>
  <c r="C36" i="27"/>
  <c r="D36" i="27"/>
  <c r="E36" i="27"/>
  <c r="F36" i="27"/>
  <c r="G36" i="27"/>
  <c r="H36" i="27"/>
  <c r="C37" i="27"/>
  <c r="D37" i="27"/>
  <c r="E37" i="27"/>
  <c r="F37" i="27"/>
  <c r="G37" i="27"/>
  <c r="H37" i="27"/>
  <c r="C38" i="27"/>
  <c r="D38" i="27"/>
  <c r="E38" i="27"/>
  <c r="F38" i="27"/>
  <c r="G38" i="27"/>
  <c r="H38" i="27"/>
  <c r="I2" i="27"/>
  <c r="I3" i="27"/>
  <c r="H2" i="27" l="1"/>
  <c r="H3" i="27"/>
  <c r="A63" i="27" l="1"/>
  <c r="A61" i="27" l="1"/>
  <c r="G2" i="27" l="1"/>
  <c r="G3" i="27"/>
  <c r="K56" i="27" l="1"/>
  <c r="D3" i="27" l="1"/>
  <c r="E3" i="27"/>
  <c r="F3" i="27"/>
  <c r="C3" i="27"/>
  <c r="D2" i="27"/>
  <c r="E2" i="27"/>
  <c r="F2" i="27"/>
  <c r="C2" i="27"/>
  <c r="B41" i="27" l="1"/>
  <c r="B40" i="27"/>
  <c r="D2" i="32"/>
  <c r="C2" i="32"/>
  <c r="C1" i="32"/>
  <c r="A2" i="27" l="1"/>
  <c r="A42" i="27" s="1"/>
  <c r="A43" i="27" s="1"/>
  <c r="A62" i="27" s="1"/>
  <c r="B1" i="27"/>
  <c r="G2" i="19" l="1"/>
  <c r="A59" i="27"/>
  <c r="C47" i="27"/>
  <c r="B46" i="27"/>
  <c r="B55" i="27"/>
  <c r="C53" i="27"/>
  <c r="C48" i="27"/>
  <c r="C54" i="27"/>
  <c r="B54" i="27"/>
  <c r="B52" i="27"/>
  <c r="B51" i="27"/>
  <c r="C49" i="27"/>
  <c r="C55" i="27"/>
  <c r="C50" i="27"/>
  <c r="B50" i="27"/>
  <c r="B48" i="27"/>
  <c r="B47" i="27"/>
  <c r="C46" i="27"/>
  <c r="C51" i="27"/>
  <c r="B49" i="27"/>
  <c r="B53" i="27"/>
  <c r="C52" i="27"/>
  <c r="A28" i="19"/>
  <c r="A11" i="19"/>
  <c r="A60" i="27"/>
  <c r="D2" i="29"/>
  <c r="A2" i="19" s="1"/>
  <c r="E55" i="27" l="1"/>
  <c r="F49" i="27"/>
  <c r="A12" i="19"/>
  <c r="L55" i="27"/>
  <c r="K55" i="27"/>
  <c r="M55" i="27" s="1"/>
  <c r="L49" i="27"/>
  <c r="F51" i="27"/>
  <c r="L51" i="27" s="1"/>
  <c r="E47" i="27"/>
  <c r="E52" i="27"/>
  <c r="F53" i="27"/>
  <c r="L53" i="27" s="1"/>
  <c r="E50" i="27"/>
  <c r="E46" i="27"/>
  <c r="E57" i="27" s="1"/>
  <c r="E54" i="27"/>
  <c r="F52" i="27"/>
  <c r="L52" i="27" s="1"/>
  <c r="E51" i="27"/>
  <c r="E48" i="27"/>
  <c r="F50" i="27"/>
  <c r="L50" i="27" s="1"/>
  <c r="F46" i="27"/>
  <c r="L46" i="27" s="1"/>
  <c r="F48" i="27"/>
  <c r="L48" i="27" s="1"/>
  <c r="F54" i="27"/>
  <c r="L54" i="27" s="1"/>
  <c r="E49" i="27"/>
  <c r="F47" i="27"/>
  <c r="L47" i="27" s="1"/>
  <c r="F55" i="27"/>
  <c r="E53" i="27"/>
  <c r="A27" i="19"/>
  <c r="O46" i="27" l="1"/>
  <c r="O48" i="27" s="1"/>
  <c r="N46" i="27"/>
  <c r="N48" i="27" s="1"/>
  <c r="C45" i="27"/>
  <c r="B45" i="27"/>
  <c r="K49" i="27" l="1"/>
  <c r="M49" i="27" s="1"/>
  <c r="K53" i="27"/>
  <c r="M53" i="27" s="1"/>
  <c r="K54" i="27"/>
  <c r="M54" i="27" s="1"/>
  <c r="K52" i="27"/>
  <c r="M52" i="27" s="1"/>
  <c r="K45" i="27"/>
  <c r="L45" i="27"/>
  <c r="A57" i="27"/>
  <c r="P57" i="27" s="1"/>
  <c r="C57" i="27" l="1"/>
  <c r="H57" i="27"/>
  <c r="G57" i="27"/>
  <c r="C66" i="27" l="1"/>
  <c r="I57" i="27" s="1"/>
  <c r="D66" i="27" s="1"/>
  <c r="G66" i="27" s="1"/>
  <c r="K48" i="27"/>
  <c r="M48" i="27" s="1"/>
  <c r="K47" i="27"/>
  <c r="M47" i="27" s="1"/>
  <c r="K51" i="27"/>
  <c r="M51" i="27" s="1"/>
  <c r="K46" i="27"/>
  <c r="M46" i="27" s="1"/>
  <c r="F66" i="27" l="1"/>
  <c r="C68" i="27"/>
  <c r="D68" i="27" s="1"/>
  <c r="C72" i="27"/>
  <c r="D72" i="27" s="1"/>
  <c r="C69" i="27"/>
  <c r="D69" i="27" s="1"/>
  <c r="C73" i="27"/>
  <c r="D73" i="27" s="1"/>
  <c r="C67" i="27"/>
  <c r="C70" i="27"/>
  <c r="D70" i="27" s="1"/>
  <c r="C74" i="27"/>
  <c r="D74" i="27" s="1"/>
  <c r="C71" i="27"/>
  <c r="D71" i="27" s="1"/>
  <c r="D2" i="19"/>
  <c r="D67" i="27" l="1"/>
  <c r="D49" i="27"/>
  <c r="J49" i="27" s="1"/>
  <c r="D55" i="27"/>
  <c r="A15" i="19"/>
  <c r="A14" i="19"/>
  <c r="B57" i="27"/>
  <c r="D52" i="27"/>
  <c r="J52" i="27" s="1"/>
  <c r="E72" i="27" s="1"/>
  <c r="D54" i="27"/>
  <c r="J54" i="27" s="1"/>
  <c r="D46" i="27"/>
  <c r="J46" i="27" s="1"/>
  <c r="J57" i="27" s="1"/>
  <c r="D53" i="27"/>
  <c r="J53" i="27" s="1"/>
  <c r="E73" i="27" s="1"/>
  <c r="D48" i="27"/>
  <c r="J48" i="27" s="1"/>
  <c r="D51" i="27"/>
  <c r="J51" i="27" s="1"/>
  <c r="D47" i="27"/>
  <c r="J47" i="27" s="1"/>
  <c r="D50" i="27"/>
  <c r="J50" i="27" s="1"/>
  <c r="E74" i="27" l="1"/>
  <c r="E70" i="27"/>
  <c r="E68" i="27"/>
  <c r="E71" i="27"/>
  <c r="E69" i="27"/>
  <c r="E66" i="27"/>
  <c r="H66" i="27" s="1"/>
  <c r="E67" i="27"/>
  <c r="A29" i="19"/>
  <c r="L57" i="27"/>
  <c r="K57" i="27"/>
  <c r="A31" i="19"/>
  <c r="K50" i="27"/>
  <c r="M50" i="27" s="1"/>
  <c r="F57" i="27"/>
  <c r="A32" i="19" s="1"/>
  <c r="B20" i="19"/>
  <c r="H67" i="27" l="1"/>
  <c r="G70" i="27"/>
  <c r="G68" i="27"/>
  <c r="G73" i="27"/>
  <c r="G69" i="27"/>
  <c r="H75" i="27"/>
  <c r="H73" i="27"/>
  <c r="G74" i="27"/>
  <c r="H74" i="27"/>
  <c r="G67" i="27"/>
  <c r="H69" i="27"/>
  <c r="H71" i="27"/>
  <c r="H70" i="27"/>
  <c r="G72" i="27"/>
  <c r="G71" i="27"/>
  <c r="H72" i="27"/>
  <c r="G75" i="27"/>
  <c r="H68" i="27"/>
  <c r="E20" i="19"/>
</calcChain>
</file>

<file path=xl/sharedStrings.xml><?xml version="1.0" encoding="utf-8"?>
<sst xmlns="http://schemas.openxmlformats.org/spreadsheetml/2006/main" count="168" uniqueCount="66">
  <si>
    <t>Auswahl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</si>
  <si>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</si>
  <si>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</si>
  <si>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</si>
  <si>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</si>
  <si>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</si>
  <si>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</si>
  <si>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</si>
  <si>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</si>
  <si>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</si>
  <si>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</si>
  <si>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Anteil</t>
  </si>
  <si>
    <t>Veraend_Proz</t>
  </si>
  <si>
    <t>Veraend_abs</t>
  </si>
  <si>
    <t>B</t>
  </si>
  <si>
    <t>K</t>
  </si>
  <si>
    <t>NÖ</t>
  </si>
  <si>
    <t>OÖ</t>
  </si>
  <si>
    <t>S</t>
  </si>
  <si>
    <t>ST</t>
  </si>
  <si>
    <t>T</t>
  </si>
  <si>
    <t>V</t>
  </si>
  <si>
    <t>W</t>
  </si>
  <si>
    <t>Anteil absteigend sortiert für Kreisdiagramm - mittels Formel</t>
  </si>
  <si>
    <t>Status</t>
  </si>
  <si>
    <t>Auswahl_Bundesland</t>
  </si>
  <si>
    <t>X</t>
  </si>
  <si>
    <t>Y</t>
  </si>
  <si>
    <t>Veränderung zum Vj.</t>
  </si>
  <si>
    <t>REGIONALER AUSSENHANDEL</t>
  </si>
  <si>
    <t/>
  </si>
  <si>
    <t>Österreich:</t>
  </si>
  <si>
    <t>Bundesland</t>
  </si>
  <si>
    <t>Richtung</t>
  </si>
  <si>
    <t>Ausfuhr</t>
  </si>
  <si>
    <t>Einfuhr</t>
  </si>
  <si>
    <t>Handelsbilanzsaldo</t>
  </si>
  <si>
    <t>Spaltenindex</t>
  </si>
  <si>
    <t>Jahresdaten oder Halbjahresdaten</t>
  </si>
  <si>
    <t>Werte in</t>
  </si>
  <si>
    <t>2010e</t>
  </si>
  <si>
    <t>2011e</t>
  </si>
  <si>
    <t>2012e</t>
  </si>
  <si>
    <t>2013e</t>
  </si>
  <si>
    <t>Max_Jahr_Jahresdaten</t>
  </si>
  <si>
    <t>Min_Jahr_Jahresdaten</t>
  </si>
  <si>
    <t>Status_Bezeichnung</t>
  </si>
  <si>
    <t>Max_Veraend_abs</t>
  </si>
  <si>
    <t>Max_Veraend_Proz</t>
  </si>
  <si>
    <t>Min_Veraend_abs</t>
  </si>
  <si>
    <t>Min_Veraend_Proz</t>
  </si>
  <si>
    <t>Quelle: Statistik Austria im Auftrag der Wirtschaftskammerorganisation und der Landesregierungen</t>
  </si>
  <si>
    <t>Veröffentlichungstermine:</t>
  </si>
  <si>
    <t>vorläufige Jahresdaten - Mitte Juli des folgenden Jahres</t>
  </si>
  <si>
    <t>endgültige Jahresdaten - Ende Jänner des zweiten Folgejahres</t>
  </si>
  <si>
    <t>2014e</t>
  </si>
  <si>
    <t>2015e</t>
  </si>
  <si>
    <t>2016e</t>
  </si>
  <si>
    <t>2017e</t>
  </si>
  <si>
    <t>2018e</t>
  </si>
  <si>
    <t>2019e</t>
  </si>
  <si>
    <t>2020e</t>
  </si>
  <si>
    <t>2021e</t>
  </si>
  <si>
    <t>2022e</t>
  </si>
  <si>
    <t>2023e</t>
  </si>
  <si>
    <t>2024e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</si>
</sst>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_-* #,##0.00\ &quot;€&quot;_-;\-* #,##0.00\ &quot;€&quot;_-;_-* &quot;-&quot;??\ &quot;€&quot;_-;_-@_-"/>
    <numFmt numFmtId="166" formatCode="_-* #,##0_-;\-* #,##0_-;_-* &quot;-&quot;??_-;_-@_-"/>
    <numFmt numFmtId="167" formatCode="0.0%"/>
    <numFmt numFmtId="168" formatCode="#,###"/>
    <numFmt numFmtId="169" formatCode="???.0"/>
    <numFmt numFmtId="170" formatCode="_-\ ?,##0_-;\-\ ?,##0_-;_-\ &quot;-&quot;??_-;_-@_-"/>
    <numFmt numFmtId="171" formatCode="#,##0.0"/>
    <numFmt numFmtId="172" formatCode="_(* #,##0_);_(* \(#,##0\);_(* &quot;-&quot;_);_(@_)"/>
    <numFmt numFmtId="173" formatCode="_(* #,##0.00_);_(* \(#,##0.00\);_(* &quot;-&quot;??_);_(@_)"/>
    <numFmt numFmtId="174" formatCode="_(&quot;$&quot;* #,##0.00_);_(&quot;$&quot;* \(#,##0.00\);_(&quot;$&quot;* &quot;-&quot;??_);_(@_)"/>
    <numFmt numFmtId="175" formatCode="_(&quot;$&quot;* #,##0_);_(&quot;$&quot;* \(#,##0\);_(&quot;$&quot;* &quot;-&quot;_);_(@_)"/>
  </numFmts>
  <fonts count="28" x14ac:knownFonts="1">
    <font>
      <sz val="10"/>
      <name val="Arial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1"/>
      <name val="Trebuchet MS"/>
      <family val="2"/>
    </font>
    <font>
      <b/>
      <sz val="10"/>
      <color rgb="FF375F91"/>
      <name val="Trebuchet MS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Trebuchet MS"/>
      <family val="2"/>
    </font>
    <font>
      <b/>
      <sz val="12"/>
      <color rgb="FF5A5A5A"/>
      <name val="Trebuchet MS"/>
      <family val="2"/>
    </font>
    <font>
      <b/>
      <sz val="11"/>
      <color rgb="FF5A5A5A"/>
      <name val="Trebuchet MS"/>
      <family val="2"/>
    </font>
    <font>
      <b/>
      <sz val="10"/>
      <color rgb="FF5A5A5A"/>
      <name val="Trebuchet MS"/>
      <family val="2"/>
    </font>
    <font>
      <sz val="10"/>
      <color rgb="FF5A5A5A"/>
      <name val="Trebuchet MS"/>
      <family val="2"/>
    </font>
    <font>
      <sz val="11"/>
      <color rgb="FF5A5A5A"/>
      <name val="Trebuchet MS"/>
      <family val="2"/>
    </font>
    <font>
      <sz val="8"/>
      <color rgb="FF000000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rgb="FFE20613"/>
      <name val="Trebuchet MS"/>
      <family val="2"/>
    </font>
    <font>
      <b/>
      <sz val="11"/>
      <color rgb="FFE20613"/>
      <name val="Trebuchet MS"/>
      <family val="2"/>
    </font>
    <font>
      <b/>
      <sz val="11"/>
      <color rgb="FF666666"/>
      <name val="Trebuchet MS"/>
      <family val="2"/>
    </font>
    <font>
      <b/>
      <sz val="12"/>
      <color rgb="FF666666"/>
      <name val="Trebuchet MS"/>
      <family val="2"/>
    </font>
    <font>
      <sz val="10"/>
      <color rgb="FF666666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E20613"/>
      </bottom>
      <diagonal/>
    </border>
  </borders>
  <cellStyleXfs count="8">
    <xf numFmtId="0" fontId="0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1" fillId="0" borderId="0"/>
    <xf numFmtId="0" fontId="2" fillId="0" borderId="0"/>
  </cellStyleXfs>
  <cellXfs count="69">
    <xf numFmtId="0" fontId="0" fillId="0" borderId="0" xfId="0"/>
    <xf numFmtId="0" fontId="6" fillId="0" borderId="0" xfId="0" applyFont="1"/>
    <xf numFmtId="0" fontId="8" fillId="0" borderId="0" xfId="0" applyFont="1"/>
    <xf numFmtId="166" fontId="6" fillId="0" borderId="0" xfId="2" applyNumberFormat="1" applyFont="1" applyFill="1" applyBorder="1"/>
    <xf numFmtId="167" fontId="6" fillId="0" borderId="0" xfId="3" applyNumberFormat="1" applyFont="1" applyFill="1" applyBorder="1"/>
    <xf numFmtId="0" fontId="7" fillId="0" borderId="0" xfId="0" applyFont="1"/>
    <xf numFmtId="166" fontId="6" fillId="0" borderId="0" xfId="2" applyNumberFormat="1" applyFont="1" applyFill="1" applyBorder="1" applyAlignment="1"/>
    <xf numFmtId="0" fontId="6" fillId="0" borderId="0" xfId="0" applyFont="1" applyAlignment="1">
      <alignment wrapText="1"/>
    </xf>
    <xf numFmtId="0" fontId="0" fillId="0" borderId="0" xfId="0" applyAlignment="1">
      <alignment horizontal="left"/>
    </xf>
    <xf numFmtId="168" fontId="0" fillId="0" borderId="0" xfId="0" applyNumberFormat="1"/>
    <xf numFmtId="0" fontId="11" fillId="2" borderId="1" xfId="0" applyFont="1" applyFill="1" applyBorder="1" applyAlignment="1">
      <alignment horizontal="left"/>
    </xf>
    <xf numFmtId="164" fontId="0" fillId="0" borderId="0" xfId="3" applyNumberFormat="1" applyFont="1"/>
    <xf numFmtId="0" fontId="12" fillId="0" borderId="0" xfId="0" applyFont="1" applyAlignment="1">
      <alignment horizontal="left"/>
    </xf>
    <xf numFmtId="168" fontId="6" fillId="0" borderId="0" xfId="0" applyNumberFormat="1" applyFont="1"/>
    <xf numFmtId="164" fontId="13" fillId="0" borderId="0" xfId="4" applyNumberFormat="1" applyFont="1"/>
    <xf numFmtId="0" fontId="13" fillId="0" borderId="0" xfId="4" applyFont="1"/>
    <xf numFmtId="0" fontId="5" fillId="0" borderId="0" xfId="0" applyFont="1"/>
    <xf numFmtId="164" fontId="5" fillId="0" borderId="0" xfId="0" applyNumberFormat="1" applyFont="1"/>
    <xf numFmtId="0" fontId="9" fillId="0" borderId="0" xfId="0" applyFon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6" fillId="0" borderId="0" xfId="2" applyNumberFormat="1" applyFont="1" applyFill="1" applyBorder="1" applyAlignment="1">
      <alignment horizontal="right"/>
    </xf>
    <xf numFmtId="169" fontId="6" fillId="0" borderId="0" xfId="0" applyNumberFormat="1" applyFont="1" applyAlignment="1">
      <alignment horizontal="center"/>
    </xf>
    <xf numFmtId="170" fontId="6" fillId="0" borderId="0" xfId="2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6" fontId="7" fillId="0" borderId="0" xfId="2" applyNumberFormat="1" applyFont="1" applyFill="1" applyBorder="1" applyAlignment="1">
      <alignment horizontal="right"/>
    </xf>
    <xf numFmtId="169" fontId="7" fillId="0" borderId="0" xfId="0" applyNumberFormat="1" applyFont="1" applyAlignment="1">
      <alignment horizontal="center"/>
    </xf>
    <xf numFmtId="170" fontId="7" fillId="0" borderId="0" xfId="2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6" fontId="7" fillId="0" borderId="0" xfId="2" applyNumberFormat="1" applyFont="1" applyFill="1" applyBorder="1"/>
    <xf numFmtId="0" fontId="3" fillId="0" borderId="0" xfId="5"/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166" fontId="7" fillId="0" borderId="0" xfId="2" applyNumberFormat="1" applyFont="1" applyFill="1" applyBorder="1" applyAlignment="1">
      <alignment wrapText="1"/>
    </xf>
    <xf numFmtId="166" fontId="7" fillId="0" borderId="0" xfId="0" applyNumberFormat="1" applyFont="1"/>
    <xf numFmtId="0" fontId="18" fillId="0" borderId="0" xfId="0" applyFont="1"/>
    <xf numFmtId="171" fontId="0" fillId="0" borderId="0" xfId="0" applyNumberFormat="1"/>
    <xf numFmtId="0" fontId="20" fillId="3" borderId="2" xfId="6" applyFont="1" applyFill="1" applyBorder="1" applyAlignment="1">
      <alignment horizontal="center"/>
    </xf>
    <xf numFmtId="0" fontId="20" fillId="0" borderId="3" xfId="6" applyFont="1" applyBorder="1" applyAlignment="1">
      <alignment wrapText="1"/>
    </xf>
    <xf numFmtId="4" fontId="20" fillId="0" borderId="3" xfId="6" applyNumberFormat="1" applyFont="1" applyBorder="1" applyAlignment="1">
      <alignment horizontal="right" wrapText="1"/>
    </xf>
    <xf numFmtId="0" fontId="22" fillId="0" borderId="3" xfId="6" applyFont="1" applyBorder="1" applyAlignment="1">
      <alignment wrapText="1"/>
    </xf>
    <xf numFmtId="0" fontId="2" fillId="0" borderId="0" xfId="5" applyFont="1"/>
    <xf numFmtId="0" fontId="15" fillId="0" borderId="0" xfId="0" applyFont="1"/>
    <xf numFmtId="168" fontId="3" fillId="0" borderId="0" xfId="5" applyNumberFormat="1"/>
    <xf numFmtId="0" fontId="6" fillId="4" borderId="0" xfId="0" applyFont="1" applyFill="1"/>
    <xf numFmtId="0" fontId="14" fillId="4" borderId="0" xfId="0" applyFont="1" applyFill="1" applyAlignment="1">
      <alignment horizontal="center"/>
    </xf>
    <xf numFmtId="0" fontId="8" fillId="4" borderId="0" xfId="0" applyFont="1" applyFill="1"/>
    <xf numFmtId="0" fontId="15" fillId="4" borderId="0" xfId="0" applyFont="1" applyFill="1"/>
    <xf numFmtId="0" fontId="23" fillId="4" borderId="0" xfId="0" applyFont="1" applyFill="1" applyAlignment="1">
      <alignment horizontal="left"/>
    </xf>
    <xf numFmtId="0" fontId="16" fillId="4" borderId="4" xfId="0" applyFont="1" applyFill="1" applyBorder="1"/>
    <xf numFmtId="0" fontId="17" fillId="4" borderId="4" xfId="0" applyFont="1" applyFill="1" applyBorder="1"/>
    <xf numFmtId="0" fontId="6" fillId="4" borderId="4" xfId="0" applyFont="1" applyFill="1" applyBorder="1"/>
    <xf numFmtId="0" fontId="7" fillId="4" borderId="4" xfId="0" applyFont="1" applyFill="1" applyBorder="1"/>
    <xf numFmtId="0" fontId="10" fillId="4" borderId="4" xfId="0" applyFont="1" applyFill="1" applyBorder="1"/>
    <xf numFmtId="3" fontId="9" fillId="0" borderId="0" xfId="2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3" fontId="25" fillId="0" borderId="0" xfId="2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1" fillId="0" borderId="0" xfId="4" applyFont="1"/>
    <xf numFmtId="0" fontId="2" fillId="0" borderId="0" xfId="7"/>
    <xf numFmtId="0" fontId="26" fillId="4" borderId="0" xfId="0" applyFont="1" applyFill="1"/>
    <xf numFmtId="0" fontId="27" fillId="4" borderId="4" xfId="0" applyFont="1" applyFill="1" applyBorder="1"/>
    <xf numFmtId="166" fontId="7" fillId="0" borderId="0" xfId="0" applyNumberFormat="1" applyFont="1" applyAlignment="1">
      <alignment horizontal="center"/>
    </xf>
    <xf numFmtId="170" fontId="8" fillId="0" borderId="0" xfId="2" applyNumberFormat="1" applyFont="1" applyFill="1" applyBorder="1" applyAlignment="1">
      <alignment horizontal="center"/>
    </xf>
    <xf numFmtId="0" fontId="20" fillId="0" borderId="3" xfId="6" applyFont="1" applyFill="1" applyBorder="1" applyAlignment="1">
      <alignment wrapText="1"/>
    </xf>
    <xf numFmtId="4" fontId="20" fillId="0" borderId="3" xfId="6" applyNumberFormat="1" applyFont="1" applyFill="1" applyBorder="1" applyAlignment="1">
      <alignment horizontal="right" wrapText="1"/>
    </xf>
  </cellXfs>
  <cellStyles count="8">
    <cellStyle name="Euro" xfId="1" xr:uid="{00000000-0005-0000-0000-000000000000}"/>
    <cellStyle name="Komma" xfId="2" builtinId="3"/>
    <cellStyle name="Prozent" xfId="3" builtinId="5"/>
    <cellStyle name="Standard" xfId="0" builtinId="0"/>
    <cellStyle name="Standard 2" xfId="4" xr:uid="{00000000-0005-0000-0000-000004000000}"/>
    <cellStyle name="Standard 3" xfId="5" xr:uid="{00000000-0005-0000-0000-000005000000}"/>
    <cellStyle name="Standard 3 2" xfId="7" xr:uid="{00000000-0005-0000-0000-000006000000}"/>
    <cellStyle name="Standard_Regionaler_AH_Jahresdaten" xfId="6" xr:uid="{00000000-0005-0000-0000-000007000000}"/>
  </cellStyles>
  <dxfs count="6">
    <dxf>
      <font>
        <b/>
        <i val="0"/>
        <color rgb="FFE20613"/>
      </font>
      <fill>
        <patternFill>
          <bgColor rgb="FFE6E6E6"/>
        </patternFill>
      </fill>
    </dxf>
    <dxf>
      <font>
        <color rgb="FFE20613"/>
      </font>
      <fill>
        <patternFill>
          <bgColor rgb="FFE6E6E6"/>
        </patternFill>
      </fill>
    </dxf>
    <dxf>
      <font>
        <b/>
        <i val="0"/>
        <color rgb="FFE20613"/>
      </font>
    </dxf>
    <dxf>
      <font>
        <b/>
        <i val="0"/>
        <color rgb="FFE20613"/>
      </font>
    </dxf>
    <dxf>
      <font>
        <b/>
        <i val="0"/>
        <color rgb="FFE20613"/>
      </font>
    </dxf>
    <dxf>
      <font>
        <b/>
        <i val="0"/>
        <color rgb="FFE20613"/>
      </font>
    </dxf>
  </dxfs>
  <tableStyles count="0" defaultTableStyle="TableStyleMedium9" defaultPivotStyle="PivotStyleLight16"/>
  <colors>
    <mruColors>
      <color rgb="FFFC8086"/>
      <color rgb="FFE20613"/>
      <color rgb="FF666666"/>
      <color rgb="FFF8F8F8"/>
      <color rgb="FFF2F2F2"/>
      <color rgb="FFE6E6E6"/>
      <color rgb="FFCCCCCC"/>
      <color rgb="FFB3B3B3"/>
      <color rgb="FF99999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[0]!Kartentitel_Landkarte</c:f>
          <c:strCache>
            <c:ptCount val="1"/>
            <c:pt idx="0">
              <c:v>Regionaler Außenhandel 2024 in 1.000 Euro, endgültige Daten</c:v>
            </c:pt>
          </c:strCache>
        </c:strRef>
      </c:tx>
      <c:layout>
        <c:manualLayout>
          <c:xMode val="edge"/>
          <c:yMode val="edge"/>
          <c:x val="0.1569591778613002"/>
          <c:y val="2.681504486613594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5.5912016282984346E-2"/>
          <c:w val="1"/>
          <c:h val="0.9440880994153974"/>
        </c:manualLayout>
      </c:layout>
      <c:bubbleChart>
        <c:varyColors val="0"/>
        <c:ser>
          <c:idx val="1"/>
          <c:order val="0"/>
          <c:tx>
            <c:v>Vorarlberg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7-4584-BB91-163827A481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Regionaler_AH_Jahresdaten!$G$53</c:f>
              <c:numCache>
                <c:formatCode>General</c:formatCode>
                <c:ptCount val="1"/>
                <c:pt idx="0">
                  <c:v>0.8</c:v>
                </c:pt>
              </c:numCache>
            </c:numRef>
          </c:xVal>
          <c:yVal>
            <c:numRef>
              <c:f>Regionaler_AH_Jahresdaten!$H$53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Regionaler_AH_Jahresdaten!$B$53</c:f>
              <c:numCache>
                <c:formatCode>#,###</c:formatCode>
                <c:ptCount val="1"/>
                <c:pt idx="0">
                  <c:v>13091852.689999999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5A97-4584-BB91-163827A48163}"/>
            </c:ext>
          </c:extLst>
        </c:ser>
        <c:ser>
          <c:idx val="2"/>
          <c:order val="1"/>
          <c:tx>
            <c:v>Tirol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Regionaler_AH_Jahresdaten!$G$52</c:f>
              <c:numCache>
                <c:formatCode>General</c:formatCode>
                <c:ptCount val="1"/>
                <c:pt idx="0">
                  <c:v>2.25</c:v>
                </c:pt>
              </c:numCache>
            </c:numRef>
          </c:xVal>
          <c:yVal>
            <c:numRef>
              <c:f>Regionaler_AH_Jahresdaten!$H$52</c:f>
              <c:numCache>
                <c:formatCode>General</c:formatCode>
                <c:ptCount val="1"/>
                <c:pt idx="0">
                  <c:v>10500</c:v>
                </c:pt>
              </c:numCache>
            </c:numRef>
          </c:yVal>
          <c:bubbleSize>
            <c:numRef>
              <c:f>Regionaler_AH_Jahresdaten!$B$52</c:f>
              <c:numCache>
                <c:formatCode>#,###</c:formatCode>
                <c:ptCount val="1"/>
                <c:pt idx="0">
                  <c:v>16619121.834000001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5A97-4584-BB91-163827A48163}"/>
            </c:ext>
          </c:extLst>
        </c:ser>
        <c:ser>
          <c:idx val="3"/>
          <c:order val="2"/>
          <c:tx>
            <c:v>Salzburg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Regionaler_AH_Jahresdaten!$G$50</c:f>
              <c:numCache>
                <c:formatCode>General</c:formatCode>
                <c:ptCount val="1"/>
                <c:pt idx="0">
                  <c:v>4.25</c:v>
                </c:pt>
              </c:numCache>
            </c:numRef>
          </c:xVal>
          <c:yVal>
            <c:numRef>
              <c:f>Regionaler_AH_Jahresdaten!$H$50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Regionaler_AH_Jahresdaten!$B$50</c:f>
              <c:numCache>
                <c:formatCode>#,###</c:formatCode>
                <c:ptCount val="1"/>
                <c:pt idx="0">
                  <c:v>13068970.066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5A97-4584-BB91-163827A48163}"/>
            </c:ext>
          </c:extLst>
        </c:ser>
        <c:ser>
          <c:idx val="4"/>
          <c:order val="3"/>
          <c:tx>
            <c:v>Kärnten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Regionaler_AH_Jahresdaten!$G$49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Regionaler_AH_Jahresdaten!$H$47</c:f>
              <c:numCache>
                <c:formatCode>General</c:formatCode>
                <c:ptCount val="1"/>
                <c:pt idx="0">
                  <c:v>5500</c:v>
                </c:pt>
              </c:numCache>
            </c:numRef>
          </c:yVal>
          <c:bubbleSize>
            <c:numRef>
              <c:f>Regionaler_AH_Jahresdaten!$B$47</c:f>
              <c:numCache>
                <c:formatCode>#,###</c:formatCode>
                <c:ptCount val="1"/>
                <c:pt idx="0">
                  <c:v>9329924.102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5A97-4584-BB91-163827A48163}"/>
            </c:ext>
          </c:extLst>
        </c:ser>
        <c:ser>
          <c:idx val="5"/>
          <c:order val="4"/>
          <c:tx>
            <c:v>Steiermark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Regionaler_AH_Jahresdaten!$G$51</c:f>
              <c:numCache>
                <c:formatCode>General</c:formatCode>
                <c:ptCount val="1"/>
                <c:pt idx="0">
                  <c:v>6.25</c:v>
                </c:pt>
              </c:numCache>
            </c:numRef>
          </c:xVal>
          <c:yVal>
            <c:numRef>
              <c:f>Regionaler_AH_Jahresdaten!$H$51</c:f>
              <c:numCache>
                <c:formatCode>General</c:formatCode>
                <c:ptCount val="1"/>
                <c:pt idx="0">
                  <c:v>12000</c:v>
                </c:pt>
              </c:numCache>
            </c:numRef>
          </c:yVal>
          <c:bubbleSize>
            <c:numRef>
              <c:f>Regionaler_AH_Jahresdaten!$B$51</c:f>
              <c:numCache>
                <c:formatCode>#,###</c:formatCode>
                <c:ptCount val="1"/>
                <c:pt idx="0">
                  <c:v>28511366.274999999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5A97-4584-BB91-163827A48163}"/>
            </c:ext>
          </c:extLst>
        </c:ser>
        <c:ser>
          <c:idx val="6"/>
          <c:order val="5"/>
          <c:tx>
            <c:v>Oberösterreich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dLbl>
              <c:idx val="0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6-5A97-4584-BB91-163827A481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Regionaler_AH_Jahresdaten!$G$49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Regionaler_AH_Jahresdaten!$H$49</c:f>
              <c:numCache>
                <c:formatCode>General</c:formatCode>
                <c:ptCount val="1"/>
                <c:pt idx="0">
                  <c:v>19500</c:v>
                </c:pt>
              </c:numCache>
            </c:numRef>
          </c:yVal>
          <c:bubbleSize>
            <c:numRef>
              <c:f>Regionaler_AH_Jahresdaten!$B$49</c:f>
              <c:numCache>
                <c:formatCode>#,###</c:formatCode>
                <c:ptCount val="1"/>
                <c:pt idx="0">
                  <c:v>48264511.398000002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5A97-4584-BB91-163827A48163}"/>
            </c:ext>
          </c:extLst>
        </c:ser>
        <c:ser>
          <c:idx val="7"/>
          <c:order val="6"/>
          <c:tx>
            <c:v>Niederösterreich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Regionaler_AH_Jahresdaten!$G$48</c:f>
              <c:numCache>
                <c:formatCode>General</c:formatCode>
                <c:ptCount val="1"/>
                <c:pt idx="0">
                  <c:v>6.75</c:v>
                </c:pt>
              </c:numCache>
            </c:numRef>
          </c:xVal>
          <c:yVal>
            <c:numRef>
              <c:f>Regionaler_AH_Jahresdaten!$H$48</c:f>
              <c:numCache>
                <c:formatCode>General</c:formatCode>
                <c:ptCount val="1"/>
                <c:pt idx="0">
                  <c:v>22000</c:v>
                </c:pt>
              </c:numCache>
            </c:numRef>
          </c:yVal>
          <c:bubbleSize>
            <c:numRef>
              <c:f>Regionaler_AH_Jahresdaten!$B$48</c:f>
              <c:numCache>
                <c:formatCode>#,###</c:formatCode>
                <c:ptCount val="1"/>
                <c:pt idx="0">
                  <c:v>28647835.686999999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5A97-4584-BB91-163827A48163}"/>
            </c:ext>
          </c:extLst>
        </c:ser>
        <c:ser>
          <c:idx val="8"/>
          <c:order val="7"/>
          <c:tx>
            <c:v>Wien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Regionaler_AH_Jahresdaten!$G$54</c:f>
              <c:numCache>
                <c:formatCode>General</c:formatCode>
                <c:ptCount val="1"/>
                <c:pt idx="0">
                  <c:v>7.75</c:v>
                </c:pt>
              </c:numCache>
            </c:numRef>
          </c:xVal>
          <c:yVal>
            <c:numRef>
              <c:f>Regionaler_AH_Jahresdaten!$H$54</c:f>
              <c:numCache>
                <c:formatCode>General</c:formatCode>
                <c:ptCount val="1"/>
                <c:pt idx="0">
                  <c:v>20000</c:v>
                </c:pt>
              </c:numCache>
            </c:numRef>
          </c:yVal>
          <c:bubbleSize>
            <c:numRef>
              <c:f>Regionaler_AH_Jahresdaten!$B$54</c:f>
              <c:numCache>
                <c:formatCode>#,###</c:formatCode>
                <c:ptCount val="1"/>
                <c:pt idx="0">
                  <c:v>30781458.965999998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5A97-4584-BB91-163827A48163}"/>
            </c:ext>
          </c:extLst>
        </c:ser>
        <c:ser>
          <c:idx val="9"/>
          <c:order val="8"/>
          <c:tx>
            <c:v>Burgenland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Regionaler_AH_Jahresdaten!$G$46</c:f>
              <c:numCache>
                <c:formatCode>General</c:formatCode>
                <c:ptCount val="1"/>
                <c:pt idx="0">
                  <c:v>7.9</c:v>
                </c:pt>
              </c:numCache>
            </c:numRef>
          </c:xVal>
          <c:yVal>
            <c:numRef>
              <c:f>Regionaler_AH_Jahresdaten!$H$46</c:f>
              <c:numCache>
                <c:formatCode>General</c:formatCode>
                <c:ptCount val="1"/>
                <c:pt idx="0">
                  <c:v>13700</c:v>
                </c:pt>
              </c:numCache>
            </c:numRef>
          </c:yVal>
          <c:bubbleSize>
            <c:numRef>
              <c:f>Regionaler_AH_Jahresdaten!$B$46</c:f>
              <c:numCache>
                <c:formatCode>#,###</c:formatCode>
                <c:ptCount val="1"/>
                <c:pt idx="0">
                  <c:v>2868885.31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5A97-4584-BB91-163827A48163}"/>
            </c:ext>
          </c:extLst>
        </c:ser>
        <c:ser>
          <c:idx val="0"/>
          <c:order val="9"/>
          <c:tx>
            <c:strRef>
              <c:f>Regionaler_AH_Jahresdaten!$A$57</c:f>
              <c:strCache>
                <c:ptCount val="1"/>
                <c:pt idx="0">
                  <c:v>Burgenland</c:v>
                </c:pt>
              </c:strCache>
            </c:strRef>
          </c:tx>
          <c:spPr>
            <a:solidFill>
              <a:srgbClr val="E20613"/>
            </a:solidFill>
            <a:ln w="9525">
              <a:solidFill>
                <a:srgbClr val="FC8086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Regionaler_AH_Jahresdaten!$G$57</c:f>
              <c:numCache>
                <c:formatCode>General</c:formatCode>
                <c:ptCount val="1"/>
                <c:pt idx="0">
                  <c:v>7.9</c:v>
                </c:pt>
              </c:numCache>
            </c:numRef>
          </c:xVal>
          <c:yVal>
            <c:numRef>
              <c:f>Regionaler_AH_Jahresdaten!$H$57</c:f>
              <c:numCache>
                <c:formatCode>General</c:formatCode>
                <c:ptCount val="1"/>
                <c:pt idx="0">
                  <c:v>13700</c:v>
                </c:pt>
              </c:numCache>
            </c:numRef>
          </c:yVal>
          <c:bubbleSize>
            <c:numRef>
              <c:f>Regionaler_AH_Jahresdaten!$B$57</c:f>
              <c:numCache>
                <c:formatCode>General</c:formatCode>
                <c:ptCount val="1"/>
                <c:pt idx="0">
                  <c:v>2868885.31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5A97-4584-BB91-163827A48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40"/>
        <c:showNegBubbles val="0"/>
        <c:axId val="107851136"/>
        <c:axId val="109646976"/>
      </c:bubbleChart>
      <c:valAx>
        <c:axId val="107851136"/>
        <c:scaling>
          <c:orientation val="minMax"/>
          <c:max val="9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09646976"/>
        <c:crosses val="autoZero"/>
        <c:crossBetween val="midCat"/>
      </c:valAx>
      <c:valAx>
        <c:axId val="109646976"/>
        <c:scaling>
          <c:orientation val="minMax"/>
          <c:max val="30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107851136"/>
        <c:crosses val="max"/>
        <c:crossBetween val="midCat"/>
        <c:majorUnit val="5000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[0]!Kartentitel_Kreis</c:f>
          <c:strCache>
            <c:ptCount val="1"/>
            <c:pt idx="0">
              <c:v>Anteil in Prozent</c:v>
            </c:pt>
          </c:strCache>
        </c:strRef>
      </c:tx>
      <c:layout>
        <c:manualLayout>
          <c:xMode val="edge"/>
          <c:yMode val="edge"/>
          <c:x val="0.35508158567557696"/>
          <c:y val="4.8379239095751748E-3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187863652965709"/>
          <c:y val="0.12483313583116275"/>
          <c:w val="0.74742603776469685"/>
          <c:h val="0.80038151816286229"/>
        </c:manualLayout>
      </c:layout>
      <c:pieChart>
        <c:varyColors val="1"/>
        <c:ser>
          <c:idx val="0"/>
          <c:order val="0"/>
          <c:tx>
            <c:v>Mitgliederstand</c:v>
          </c:tx>
          <c:spPr>
            <a:solidFill>
              <a:srgbClr val="006464"/>
            </a:solidFill>
            <a:ln>
              <a:solidFill>
                <a:srgbClr val="375F91"/>
              </a:solidFill>
            </a:ln>
          </c:spPr>
          <c:dPt>
            <c:idx val="0"/>
            <c:bubble3D val="0"/>
            <c:spPr>
              <a:solidFill>
                <a:srgbClr val="E20613"/>
              </a:solidFill>
              <a:ln>
                <a:solidFill>
                  <a:srgbClr val="FC80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0F-4458-9036-80918E7A53D6}"/>
              </c:ext>
            </c:extLst>
          </c:dPt>
          <c:dPt>
            <c:idx val="1"/>
            <c:bubble3D val="0"/>
            <c:spPr>
              <a:solidFill>
                <a:srgbClr val="66666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B0F-4458-9036-80918E7A53D6}"/>
              </c:ext>
            </c:extLst>
          </c:dPt>
          <c:dPt>
            <c:idx val="2"/>
            <c:bubble3D val="0"/>
            <c:spPr>
              <a:solidFill>
                <a:srgbClr val="80808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D856-46F9-AC7F-B390468BAC35}"/>
              </c:ext>
            </c:extLst>
          </c:dPt>
          <c:dPt>
            <c:idx val="3"/>
            <c:bubble3D val="0"/>
            <c:spPr>
              <a:solidFill>
                <a:srgbClr val="99999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B0F-4458-9036-80918E7A53D6}"/>
              </c:ext>
            </c:extLst>
          </c:dPt>
          <c:dPt>
            <c:idx val="4"/>
            <c:bubble3D val="0"/>
            <c:spPr>
              <a:solidFill>
                <a:srgbClr val="B3B3B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5B0F-4458-9036-80918E7A53D6}"/>
              </c:ext>
            </c:extLst>
          </c:dPt>
          <c:dPt>
            <c:idx val="5"/>
            <c:bubble3D val="0"/>
            <c:spPr>
              <a:solidFill>
                <a:srgbClr val="CCCC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5B0F-4458-9036-80918E7A53D6}"/>
              </c:ext>
            </c:extLst>
          </c:dPt>
          <c:dPt>
            <c:idx val="6"/>
            <c:bubble3D val="0"/>
            <c:spPr>
              <a:solidFill>
                <a:srgbClr val="E6E6E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5B0F-4458-9036-80918E7A53D6}"/>
              </c:ext>
            </c:extLst>
          </c:dPt>
          <c:dPt>
            <c:idx val="7"/>
            <c:bubble3D val="0"/>
            <c:spPr>
              <a:solidFill>
                <a:srgbClr val="F2F2F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5B0F-4458-9036-80918E7A53D6}"/>
              </c:ext>
            </c:extLst>
          </c:dPt>
          <c:dPt>
            <c:idx val="8"/>
            <c:bubble3D val="0"/>
            <c:spPr>
              <a:solidFill>
                <a:srgbClr val="F8F8F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5B0F-4458-9036-80918E7A53D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Regionaler_AH_Jahresdaten!$G$66:$G$74</c:f>
              <c:strCache>
                <c:ptCount val="9"/>
                <c:pt idx="0">
                  <c:v>B</c:v>
                </c:pt>
                <c:pt idx="1">
                  <c:v>OÖ</c:v>
                </c:pt>
                <c:pt idx="2">
                  <c:v>W</c:v>
                </c:pt>
                <c:pt idx="3">
                  <c:v>NÖ</c:v>
                </c:pt>
                <c:pt idx="4">
                  <c:v>ST</c:v>
                </c:pt>
                <c:pt idx="5">
                  <c:v>T</c:v>
                </c:pt>
                <c:pt idx="6">
                  <c:v>V</c:v>
                </c:pt>
                <c:pt idx="7">
                  <c:v>S</c:v>
                </c:pt>
                <c:pt idx="8">
                  <c:v>K</c:v>
                </c:pt>
              </c:strCache>
            </c:strRef>
          </c:cat>
          <c:val>
            <c:numRef>
              <c:f>Regionaler_AH_Jahresdaten!$H$66:$H$74</c:f>
              <c:numCache>
                <c:formatCode>General</c:formatCode>
                <c:ptCount val="9"/>
                <c:pt idx="0" formatCode="0.0">
                  <c:v>1.5005891787566217</c:v>
                </c:pt>
                <c:pt idx="1">
                  <c:v>25.245067577070355</c:v>
                </c:pt>
                <c:pt idx="2">
                  <c:v>16.100442938487696</c:v>
                </c:pt>
                <c:pt idx="3">
                  <c:v>14.984437362088192</c:v>
                </c:pt>
                <c:pt idx="4">
                  <c:v>14.913056145779313</c:v>
                </c:pt>
                <c:pt idx="5">
                  <c:v>8.6927401027886688</c:v>
                </c:pt>
                <c:pt idx="6">
                  <c:v>6.8477789641893247</c:v>
                </c:pt>
                <c:pt idx="7">
                  <c:v>6.8358100584138759</c:v>
                </c:pt>
                <c:pt idx="8">
                  <c:v>4.8800776724259469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B0F-4458-9036-80918E7A5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l"/>
      <c:layout>
        <c:manualLayout>
          <c:xMode val="edge"/>
          <c:yMode val="edge"/>
          <c:x val="2.5889967637540454E-2"/>
          <c:y val="0.11992390011544508"/>
          <c:w val="0.1291433716416516"/>
          <c:h val="0.7968177470344658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[0]!Kartentitel_Veränderung</c:f>
          <c:strCache>
            <c:ptCount val="1"/>
            <c:pt idx="0">
              <c:v>Absolute und prozentuelle Veränderung</c:v>
            </c:pt>
          </c:strCache>
        </c:strRef>
      </c:tx>
      <c:layout>
        <c:manualLayout>
          <c:xMode val="edge"/>
          <c:yMode val="edge"/>
          <c:x val="0.24822018784373823"/>
          <c:y val="9.4117450348710375E-3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774903097326106"/>
          <c:y val="0.14148346369023057"/>
          <c:w val="0.63889377213646303"/>
          <c:h val="0.76301543689027485"/>
        </c:manualLayout>
      </c:layout>
      <c:barChart>
        <c:barDir val="col"/>
        <c:grouping val="clustered"/>
        <c:varyColors val="0"/>
        <c:ser>
          <c:idx val="1"/>
          <c:order val="1"/>
          <c:tx>
            <c:v>Absolute Veränderung</c:v>
          </c:tx>
          <c:spPr>
            <a:solidFill>
              <a:srgbClr val="666666"/>
            </a:solidFill>
            <a:ln>
              <a:noFill/>
            </a:ln>
          </c:spPr>
          <c:invertIfNegative val="1"/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BC8C-4475-AC8F-D10CD69D198F}"/>
              </c:ext>
            </c:extLst>
          </c:dPt>
          <c:cat>
            <c:strRef>
              <c:f>Regionaler_AH_Jahresdaten!$I$46:$I$54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Regionaler_AH_Jahresdaten!$E$46:$E$54</c:f>
              <c:numCache>
                <c:formatCode>#,###</c:formatCode>
                <c:ptCount val="9"/>
                <c:pt idx="0">
                  <c:v>16708.260000000242</c:v>
                </c:pt>
                <c:pt idx="1">
                  <c:v>-180760.35700000077</c:v>
                </c:pt>
                <c:pt idx="2">
                  <c:v>-1620207.8599999994</c:v>
                </c:pt>
                <c:pt idx="3">
                  <c:v>-5989638.3359999955</c:v>
                </c:pt>
                <c:pt idx="4">
                  <c:v>-910215.14100000076</c:v>
                </c:pt>
                <c:pt idx="5">
                  <c:v>-365428.87600000203</c:v>
                </c:pt>
                <c:pt idx="6">
                  <c:v>182644.50600000098</c:v>
                </c:pt>
                <c:pt idx="7">
                  <c:v>-219117.24100000039</c:v>
                </c:pt>
                <c:pt idx="8">
                  <c:v>-485475.39300000295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C8086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B8B-4B3E-9D21-8C64BC955501}"/>
            </c:ext>
          </c:extLst>
        </c:ser>
        <c:ser>
          <c:idx val="2"/>
          <c:order val="3"/>
          <c:tx>
            <c:strRef>
              <c:f>Regionaler_AH_Jahresdaten!$K$45</c:f>
              <c:strCache>
                <c:ptCount val="1"/>
                <c:pt idx="0">
                  <c:v>Verae_absolut_Burgenland</c:v>
                </c:pt>
              </c:strCache>
            </c:strRef>
          </c:tx>
          <c:spPr>
            <a:solidFill>
              <a:srgbClr val="E20613"/>
            </a:solidFill>
            <a:ln>
              <a:solidFill>
                <a:srgbClr val="FC8086"/>
              </a:solidFill>
            </a:ln>
          </c:spPr>
          <c:invertIfNegative val="0"/>
          <c:cat>
            <c:strRef>
              <c:f>Regionaler_AH_Jahresdaten!$I$46:$I$54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Regionaler_AH_Jahresdaten!$M$46:$M$54</c:f>
              <c:numCache>
                <c:formatCode>General</c:formatCode>
                <c:ptCount val="9"/>
                <c:pt idx="0">
                  <c:v>16708.260000000242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8B-4B3E-9D21-8C64BC955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732608"/>
        <c:axId val="109734528"/>
      </c:barChart>
      <c:lineChart>
        <c:grouping val="standard"/>
        <c:varyColors val="0"/>
        <c:ser>
          <c:idx val="4"/>
          <c:order val="4"/>
          <c:tx>
            <c:v>Gegenpart_Veraend_abs</c:v>
          </c:tx>
          <c:spPr>
            <a:ln>
              <a:noFill/>
            </a:ln>
          </c:spPr>
          <c:marker>
            <c:symbol val="none"/>
          </c:marker>
          <c:val>
            <c:numRef>
              <c:f>Regionaler_AH_Jahresdaten!$N$48</c:f>
              <c:numCache>
                <c:formatCode>General</c:formatCode>
                <c:ptCount val="1"/>
                <c:pt idx="0">
                  <c:v>5989638.3359999955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8B-4B3E-9D21-8C64BC955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32608"/>
        <c:axId val="109734528"/>
      </c:lineChart>
      <c:lineChart>
        <c:grouping val="standard"/>
        <c:varyColors val="0"/>
        <c:ser>
          <c:idx val="0"/>
          <c:order val="0"/>
          <c:tx>
            <c:v>in Prozent</c:v>
          </c:tx>
          <c:spPr>
            <a:ln w="25400">
              <a:noFill/>
            </a:ln>
          </c:spPr>
          <c:marker>
            <c:symbol val="diamond"/>
            <c:size val="10"/>
            <c:spPr>
              <a:solidFill>
                <a:srgbClr val="E6E6E6"/>
              </a:solidFill>
              <a:ln>
                <a:solidFill>
                  <a:srgbClr val="006464"/>
                </a:solidFill>
              </a:ln>
            </c:spPr>
          </c:marker>
          <c:cat>
            <c:strRef>
              <c:f>Regionaler_AH_Jahresdaten!$I$46:$I$54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Regionaler_AH_Jahresdaten!$F$46:$F$54</c:f>
              <c:numCache>
                <c:formatCode>#,##0.0</c:formatCode>
                <c:ptCount val="9"/>
                <c:pt idx="0">
                  <c:v>0.58580725204279815</c:v>
                </c:pt>
                <c:pt idx="1">
                  <c:v>-1.9006030299842962</c:v>
                </c:pt>
                <c:pt idx="2">
                  <c:v>-5.3528661589380704</c:v>
                </c:pt>
                <c:pt idx="3">
                  <c:v>-11.039963514986965</c:v>
                </c:pt>
                <c:pt idx="4">
                  <c:v>-6.5112174101836473</c:v>
                </c:pt>
                <c:pt idx="5">
                  <c:v>-1.2654758746222825</c:v>
                </c:pt>
                <c:pt idx="6">
                  <c:v>1.1112144187298583</c:v>
                </c:pt>
                <c:pt idx="7">
                  <c:v>-1.6461403048450762</c:v>
                </c:pt>
                <c:pt idx="8">
                  <c:v>-1.5526798611782056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8B-4B3E-9D21-8C64BC955501}"/>
            </c:ext>
          </c:extLst>
        </c:ser>
        <c:ser>
          <c:idx val="3"/>
          <c:order val="2"/>
          <c:tx>
            <c:strRef>
              <c:f>Regionaler_AH_Jahresdaten!$L$45</c:f>
              <c:strCache>
                <c:ptCount val="1"/>
                <c:pt idx="0">
                  <c:v>Verae_Proz_Burgenland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2"/>
            <c:spPr>
              <a:solidFill>
                <a:srgbClr val="FC8086"/>
              </a:solidFill>
              <a:ln w="9525">
                <a:solidFill>
                  <a:srgbClr val="E20613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Regionaler_AH_Jahresdaten!$I$46:$I$54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Regionaler_AH_Jahresdaten!$L$46:$L$54</c:f>
              <c:numCache>
                <c:formatCode>General</c:formatCode>
                <c:ptCount val="9"/>
                <c:pt idx="0">
                  <c:v>0.58580725204279815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8B-4B3E-9D21-8C64BC955501}"/>
            </c:ext>
          </c:extLst>
        </c:ser>
        <c:ser>
          <c:idx val="5"/>
          <c:order val="5"/>
          <c:tx>
            <c:v>Gegenpart_Veraend_proz</c:v>
          </c:tx>
          <c:spPr>
            <a:ln>
              <a:noFill/>
            </a:ln>
          </c:spPr>
          <c:marker>
            <c:symbol val="none"/>
          </c:marker>
          <c:val>
            <c:numRef>
              <c:f>Regionaler_AH_Jahresdaten!$O$48</c:f>
              <c:numCache>
                <c:formatCode>General</c:formatCode>
                <c:ptCount val="1"/>
                <c:pt idx="0">
                  <c:v>11.039963514986965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8B-4B3E-9D21-8C64BC955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50912"/>
        <c:axId val="109748992"/>
      </c:lineChart>
      <c:catAx>
        <c:axId val="109732608"/>
        <c:scaling>
          <c:orientation val="minMax"/>
        </c:scaling>
        <c:delete val="0"/>
        <c:axPos val="b"/>
        <c:title>
          <c:tx>
            <c:strRef>
              <c:f>[0]!Keine_Veränderung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19989287967764527"/>
              <c:y val="0.31859191308902463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9B3737"/>
                  </a:solidFill>
                </a:defRPr>
              </a:pPr>
              <a:endParaRPr lang="de-DE"/>
            </a:p>
          </c:txPr>
        </c:title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de-DE"/>
          </a:p>
        </c:txPr>
        <c:crossAx val="109734528"/>
        <c:crosses val="autoZero"/>
        <c:auto val="0"/>
        <c:lblAlgn val="ctr"/>
        <c:lblOffset val="100"/>
        <c:noMultiLvlLbl val="0"/>
      </c:catAx>
      <c:valAx>
        <c:axId val="109734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Absolute Veränderung</a:t>
                </a:r>
              </a:p>
            </c:rich>
          </c:tx>
          <c:layout>
            <c:manualLayout>
              <c:xMode val="edge"/>
              <c:yMode val="edge"/>
              <c:x val="3.7073535232123541E-3"/>
              <c:y val="0.282770723522674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de-DE"/>
          </a:p>
        </c:txPr>
        <c:crossAx val="109732608"/>
        <c:crosses val="autoZero"/>
        <c:crossBetween val="between"/>
      </c:valAx>
      <c:valAx>
        <c:axId val="10974899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Veränderung</a:t>
                </a:r>
                <a:r>
                  <a:rPr lang="de-AT" baseline="0"/>
                  <a:t> in % zum Vorjahr</a:t>
                </a:r>
                <a:endParaRPr lang="de-AT"/>
              </a:p>
            </c:rich>
          </c:tx>
          <c:layout>
            <c:manualLayout>
              <c:xMode val="edge"/>
              <c:yMode val="edge"/>
              <c:x val="0.96056654186840329"/>
              <c:y val="0.2041555909429446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109750912"/>
        <c:crosses val="max"/>
        <c:crossBetween val="between"/>
      </c:valAx>
      <c:catAx>
        <c:axId val="10975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748992"/>
        <c:crosses val="autoZero"/>
        <c:auto val="0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Dropdown_Jahr!$C$2" max="2024" min="2010" page="10" val="2024"/>
</file>

<file path=xl/ctrlProps/ctrlProp2.xml><?xml version="1.0" encoding="utf-8"?>
<formControlPr xmlns="http://schemas.microsoft.com/office/spreadsheetml/2009/9/main" objectType="Radio" checked="Checked" firstButton="1" fmlaLink="Regionaler_AH_Jahresdaten!$A$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List" dx="15" fmlaLink="Dropdown_Bundesland!$C$2" fmlaRange="Dropdown_Bundesland!$B$2:$B$11" noThreeD="1" sel="2" val="0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Dropdown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590550</xdr:colOff>
          <xdr:row>0</xdr:row>
          <xdr:rowOff>57150</xdr:rowOff>
        </xdr:from>
        <xdr:to>
          <xdr:col>4</xdr:col>
          <xdr:colOff>12700</xdr:colOff>
          <xdr:row>1</xdr:row>
          <xdr:rowOff>222250</xdr:rowOff>
        </xdr:to>
        <xdr:sp macro="" textlink="">
          <xdr:nvSpPr>
            <xdr:cNvPr id="612354" name="Spinner 2" hidden="1">
              <a:extLst>
                <a:ext uri="{63B3BB69-23CF-44E3-9099-C40C66FF867C}">
                  <a14:compatExt spid="_x0000_s612354"/>
                </a:ext>
                <a:ext uri="{FF2B5EF4-FFF2-40B4-BE49-F238E27FC236}">
                  <a16:creationId xmlns:a16="http://schemas.microsoft.com/office/drawing/2014/main" id="{00000000-0008-0000-0000-00000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</xdr:row>
          <xdr:rowOff>127000</xdr:rowOff>
        </xdr:from>
        <xdr:to>
          <xdr:col>1</xdr:col>
          <xdr:colOff>876300</xdr:colOff>
          <xdr:row>5</xdr:row>
          <xdr:rowOff>88900</xdr:rowOff>
        </xdr:to>
        <xdr:sp macro="" textlink="">
          <xdr:nvSpPr>
            <xdr:cNvPr id="612356" name="Option Button 4" hidden="1">
              <a:extLst>
                <a:ext uri="{63B3BB69-23CF-44E3-9099-C40C66FF867C}">
                  <a14:compatExt spid="_x0000_s612356"/>
                </a:ext>
                <a:ext uri="{FF2B5EF4-FFF2-40B4-BE49-F238E27FC236}">
                  <a16:creationId xmlns:a16="http://schemas.microsoft.com/office/drawing/2014/main" id="{00000000-0008-0000-0000-000004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5</xdr:row>
          <xdr:rowOff>107950</xdr:rowOff>
        </xdr:from>
        <xdr:to>
          <xdr:col>1</xdr:col>
          <xdr:colOff>895350</xdr:colOff>
          <xdr:row>6</xdr:row>
          <xdr:rowOff>88900</xdr:rowOff>
        </xdr:to>
        <xdr:sp macro="" textlink="">
          <xdr:nvSpPr>
            <xdr:cNvPr id="612358" name="Option Button 6" hidden="1">
              <a:extLst>
                <a:ext uri="{63B3BB69-23CF-44E3-9099-C40C66FF867C}">
                  <a14:compatExt spid="_x0000_s612358"/>
                </a:ext>
                <a:ext uri="{FF2B5EF4-FFF2-40B4-BE49-F238E27FC236}">
                  <a16:creationId xmlns:a16="http://schemas.microsoft.com/office/drawing/2014/main" id="{00000000-0008-0000-0000-000006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16</xdr:row>
          <xdr:rowOff>69850</xdr:rowOff>
        </xdr:from>
        <xdr:to>
          <xdr:col>1</xdr:col>
          <xdr:colOff>38100</xdr:colOff>
          <xdr:row>25</xdr:row>
          <xdr:rowOff>31750</xdr:rowOff>
        </xdr:to>
        <xdr:sp macro="" textlink="">
          <xdr:nvSpPr>
            <xdr:cNvPr id="612361" name="List Box 9" hidden="1">
              <a:extLst>
                <a:ext uri="{63B3BB69-23CF-44E3-9099-C40C66FF867C}">
                  <a14:compatExt spid="_x0000_s612361"/>
                </a:ext>
                <a:ext uri="{FF2B5EF4-FFF2-40B4-BE49-F238E27FC236}">
                  <a16:creationId xmlns:a16="http://schemas.microsoft.com/office/drawing/2014/main" id="{00000000-0008-0000-0000-000009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2</xdr:col>
      <xdr:colOff>175684</xdr:colOff>
      <xdr:row>3</xdr:row>
      <xdr:rowOff>43180</xdr:rowOff>
    </xdr:from>
    <xdr:to>
      <xdr:col>10</xdr:col>
      <xdr:colOff>502709</xdr:colOff>
      <xdr:row>19</xdr:row>
      <xdr:rowOff>8043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205317</xdr:colOff>
      <xdr:row>20</xdr:row>
      <xdr:rowOff>72812</xdr:rowOff>
    </xdr:from>
    <xdr:to>
      <xdr:col>4</xdr:col>
      <xdr:colOff>205317</xdr:colOff>
      <xdr:row>34</xdr:row>
      <xdr:rowOff>40005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190500</xdr:colOff>
      <xdr:row>20</xdr:row>
      <xdr:rowOff>41064</xdr:rowOff>
    </xdr:from>
    <xdr:to>
      <xdr:col>10</xdr:col>
      <xdr:colOff>463549</xdr:colOff>
      <xdr:row>34</xdr:row>
      <xdr:rowOff>3281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4</xdr:row>
          <xdr:rowOff>88900</xdr:rowOff>
        </xdr:from>
        <xdr:to>
          <xdr:col>1</xdr:col>
          <xdr:colOff>971550</xdr:colOff>
          <xdr:row>6</xdr:row>
          <xdr:rowOff>107950</xdr:rowOff>
        </xdr:to>
        <xdr:sp macro="" textlink="">
          <xdr:nvSpPr>
            <xdr:cNvPr id="612362" name="Group Box 10" hidden="1">
              <a:extLst>
                <a:ext uri="{63B3BB69-23CF-44E3-9099-C40C66FF867C}">
                  <a14:compatExt spid="_x0000_s612362"/>
                </a:ext>
                <a:ext uri="{FF2B5EF4-FFF2-40B4-BE49-F238E27FC236}">
                  <a16:creationId xmlns:a16="http://schemas.microsoft.com/office/drawing/2014/main" id="{00000000-0008-0000-0000-00000A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3</xdr:row>
          <xdr:rowOff>171450</xdr:rowOff>
        </xdr:from>
        <xdr:to>
          <xdr:col>0</xdr:col>
          <xdr:colOff>1308100</xdr:colOff>
          <xdr:row>6</xdr:row>
          <xdr:rowOff>184150</xdr:rowOff>
        </xdr:to>
        <xdr:sp macro="" textlink="">
          <xdr:nvSpPr>
            <xdr:cNvPr id="612369" name="Group Box 17" hidden="1">
              <a:extLst>
                <a:ext uri="{63B3BB69-23CF-44E3-9099-C40C66FF867C}">
                  <a14:compatExt spid="_x0000_s612369"/>
                </a:ext>
                <a:ext uri="{FF2B5EF4-FFF2-40B4-BE49-F238E27FC236}">
                  <a16:creationId xmlns:a16="http://schemas.microsoft.com/office/drawing/2014/main" id="{00000000-0008-0000-0000-000011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4</xdr:row>
          <xdr:rowOff>12700</xdr:rowOff>
        </xdr:from>
        <xdr:to>
          <xdr:col>0</xdr:col>
          <xdr:colOff>1162050</xdr:colOff>
          <xdr:row>5</xdr:row>
          <xdr:rowOff>12700</xdr:rowOff>
        </xdr:to>
        <xdr:sp macro="" textlink="">
          <xdr:nvSpPr>
            <xdr:cNvPr id="612370" name="Option Button 18" hidden="1">
              <a:extLst>
                <a:ext uri="{63B3BB69-23CF-44E3-9099-C40C66FF867C}">
                  <a14:compatExt spid="_x0000_s612370"/>
                </a:ext>
                <a:ext uri="{FF2B5EF4-FFF2-40B4-BE49-F238E27FC236}">
                  <a16:creationId xmlns:a16="http://schemas.microsoft.com/office/drawing/2014/main" id="{00000000-0008-0000-0000-00001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Euro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4</xdr:row>
          <xdr:rowOff>184150</xdr:rowOff>
        </xdr:from>
        <xdr:to>
          <xdr:col>0</xdr:col>
          <xdr:colOff>1162050</xdr:colOff>
          <xdr:row>5</xdr:row>
          <xdr:rowOff>184150</xdr:rowOff>
        </xdr:to>
        <xdr:sp macro="" textlink="">
          <xdr:nvSpPr>
            <xdr:cNvPr id="612371" name="Option Button 19" hidden="1">
              <a:extLst>
                <a:ext uri="{63B3BB69-23CF-44E3-9099-C40C66FF867C}">
                  <a14:compatExt spid="_x0000_s612371"/>
                </a:ext>
                <a:ext uri="{FF2B5EF4-FFF2-40B4-BE49-F238E27FC236}">
                  <a16:creationId xmlns:a16="http://schemas.microsoft.com/office/drawing/2014/main" id="{00000000-0008-0000-0000-000013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1.000 Euro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5</xdr:row>
          <xdr:rowOff>146050</xdr:rowOff>
        </xdr:from>
        <xdr:to>
          <xdr:col>0</xdr:col>
          <xdr:colOff>1219200</xdr:colOff>
          <xdr:row>6</xdr:row>
          <xdr:rowOff>146050</xdr:rowOff>
        </xdr:to>
        <xdr:sp macro="" textlink="">
          <xdr:nvSpPr>
            <xdr:cNvPr id="612372" name="Option Button 20" hidden="1">
              <a:extLst>
                <a:ext uri="{63B3BB69-23CF-44E3-9099-C40C66FF867C}">
                  <a14:compatExt spid="_x0000_s612372"/>
                </a:ext>
                <a:ext uri="{FF2B5EF4-FFF2-40B4-BE49-F238E27FC236}">
                  <a16:creationId xmlns:a16="http://schemas.microsoft.com/office/drawing/2014/main" id="{00000000-0008-0000-0000-000014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Mio. Euro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396240</xdr:colOff>
      <xdr:row>0</xdr:row>
      <xdr:rowOff>53340</xdr:rowOff>
    </xdr:from>
    <xdr:to>
      <xdr:col>10</xdr:col>
      <xdr:colOff>519684</xdr:colOff>
      <xdr:row>2</xdr:row>
      <xdr:rowOff>140780</xdr:rowOff>
    </xdr:to>
    <xdr:pic>
      <xdr:nvPicPr>
        <xdr:cNvPr id="15" name="Grafik 14" descr="http://mossportal.res.wk.wknet/folienportal/Bilder%20und%20Logos/WKÖ%20Logos/wika_oe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35340" y="53340"/>
          <a:ext cx="1312164" cy="37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wrap="none" rtlCol="0"/>
      <a:lstStyle>
        <a:defPPr>
          <a:defRPr sz="800">
            <a:latin typeface="Calibri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47"/>
  <sheetViews>
    <sheetView showGridLines="0" tabSelected="1" zoomScaleNormal="100" workbookViewId="0"/>
  </sheetViews>
  <sheetFormatPr baseColWidth="10" defaultColWidth="11.453125" defaultRowHeight="13.5" x14ac:dyDescent="0.35"/>
  <cols>
    <col min="1" max="1" width="23.7265625" style="1" customWidth="1"/>
    <col min="2" max="2" width="22.7265625" style="1" customWidth="1"/>
    <col min="3" max="5" width="10.7265625" style="1" customWidth="1"/>
    <col min="6" max="6" width="3.54296875" style="1" customWidth="1"/>
    <col min="7" max="7" width="25.7265625" style="1" customWidth="1"/>
    <col min="8" max="8" width="9.7265625" style="1" customWidth="1"/>
    <col min="9" max="15" width="8.7265625" style="1" customWidth="1"/>
    <col min="16" max="16384" width="11.453125" style="1"/>
  </cols>
  <sheetData>
    <row r="1" spans="1:15" ht="4.9000000000000004" customHeight="1" x14ac:dyDescent="0.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5" ht="19" x14ac:dyDescent="0.45">
      <c r="A2" s="48" t="str">
        <f>Auswahl_Bundesland&amp;":"</f>
        <v>Burgenland:</v>
      </c>
      <c r="B2" s="63" t="s">
        <v>29</v>
      </c>
      <c r="C2" s="44"/>
      <c r="D2" s="45">
        <f>Auswahl_Jahr</f>
        <v>2024</v>
      </c>
      <c r="E2" s="44"/>
      <c r="F2" s="46"/>
      <c r="G2" s="47" t="str">
        <f>IF(Periodizität="Jahresdaten",Status_Jahresdaten_Bezeichnung,Status_Halbjahresdaten_Bezeichnung)</f>
        <v>endgültige Daten</v>
      </c>
      <c r="H2" s="46"/>
      <c r="I2" s="46"/>
      <c r="J2" s="44"/>
      <c r="K2" s="44"/>
    </row>
    <row r="3" spans="1:15" x14ac:dyDescent="0.35">
      <c r="A3" s="64" t="s">
        <v>51</v>
      </c>
      <c r="B3" s="49"/>
      <c r="C3" s="50"/>
      <c r="D3" s="50"/>
      <c r="E3" s="50"/>
      <c r="F3" s="49"/>
      <c r="G3" s="51"/>
      <c r="H3" s="51"/>
      <c r="I3" s="52"/>
      <c r="J3" s="51"/>
      <c r="K3" s="53"/>
    </row>
    <row r="5" spans="1:15" ht="14.5" x14ac:dyDescent="0.35">
      <c r="A5" s="42"/>
      <c r="B5" s="35"/>
    </row>
    <row r="6" spans="1:15" ht="14.5" x14ac:dyDescent="0.35">
      <c r="A6" s="35"/>
      <c r="B6" s="35"/>
      <c r="C6" s="35"/>
    </row>
    <row r="7" spans="1:15" ht="14.5" x14ac:dyDescent="0.35">
      <c r="B7" s="35"/>
      <c r="G7" s="18"/>
    </row>
    <row r="8" spans="1:15" ht="15" customHeight="1" x14ac:dyDescent="0.35">
      <c r="C8" s="5"/>
      <c r="D8" s="33"/>
      <c r="E8" s="33"/>
      <c r="H8" s="7"/>
      <c r="I8" s="3"/>
      <c r="J8" s="3"/>
      <c r="K8" s="3"/>
    </row>
    <row r="9" spans="1:15" ht="15" customHeight="1" x14ac:dyDescent="0.35">
      <c r="A9" s="31"/>
      <c r="C9" s="5"/>
      <c r="D9" s="33"/>
      <c r="E9" s="33"/>
      <c r="G9" s="31"/>
      <c r="H9" s="32"/>
      <c r="I9" s="32"/>
      <c r="J9" s="32"/>
      <c r="K9" s="34"/>
      <c r="L9" s="65"/>
      <c r="M9" s="65"/>
      <c r="N9" s="65"/>
      <c r="O9" s="65"/>
    </row>
    <row r="10" spans="1:15" ht="15" customHeight="1" x14ac:dyDescent="0.35">
      <c r="A10" s="56" t="s">
        <v>31</v>
      </c>
      <c r="C10" s="5"/>
      <c r="D10" s="33"/>
      <c r="E10" s="33"/>
      <c r="G10" s="31"/>
      <c r="H10" s="32"/>
      <c r="I10" s="32"/>
      <c r="J10" s="32"/>
      <c r="K10" s="34"/>
      <c r="L10" s="19"/>
      <c r="M10" s="19"/>
      <c r="N10" s="19"/>
      <c r="O10" s="19"/>
    </row>
    <row r="11" spans="1:15" ht="14.5" x14ac:dyDescent="0.35">
      <c r="A11" s="56" t="str">
        <f>Richtung</f>
        <v>Exporte</v>
      </c>
      <c r="C11" s="20"/>
      <c r="D11" s="20"/>
      <c r="E11" s="20"/>
      <c r="G11" s="31"/>
      <c r="H11" s="20"/>
      <c r="I11" s="20"/>
      <c r="J11" s="20"/>
      <c r="K11" s="20"/>
      <c r="L11" s="20"/>
      <c r="M11" s="20"/>
      <c r="N11" s="20"/>
      <c r="O11" s="20"/>
    </row>
    <row r="12" spans="1:15" ht="14.5" x14ac:dyDescent="0.35">
      <c r="A12" s="54">
        <f>IF(ISERROR(AH_gesamt),"keine Daten verfügbar",AH_gesamt)</f>
        <v>191183926.32800001</v>
      </c>
      <c r="B12" s="21"/>
      <c r="C12" s="22"/>
      <c r="D12" s="23"/>
      <c r="E12" s="24"/>
      <c r="H12" s="3"/>
      <c r="I12" s="3"/>
      <c r="J12" s="3"/>
      <c r="K12" s="3"/>
      <c r="L12" s="3"/>
      <c r="M12" s="3"/>
      <c r="N12" s="3"/>
      <c r="O12" s="3"/>
    </row>
    <row r="13" spans="1:15" ht="14.5" x14ac:dyDescent="0.35">
      <c r="A13" s="56" t="s">
        <v>28</v>
      </c>
      <c r="B13" s="21"/>
      <c r="C13" s="22"/>
      <c r="D13" s="23"/>
      <c r="E13" s="24"/>
      <c r="H13" s="3"/>
      <c r="I13" s="3"/>
      <c r="J13" s="3"/>
      <c r="K13" s="3"/>
      <c r="L13" s="3"/>
      <c r="M13" s="3"/>
      <c r="N13" s="3"/>
      <c r="O13" s="3"/>
    </row>
    <row r="14" spans="1:15" ht="14.5" x14ac:dyDescent="0.35">
      <c r="A14" s="58" t="str">
        <f>"absolut: " &amp; Verae_absolut_gesamt</f>
        <v>absolut: -9.571.490</v>
      </c>
      <c r="B14" s="21"/>
      <c r="C14" s="22"/>
      <c r="D14" s="23"/>
      <c r="E14" s="24"/>
      <c r="H14" s="3"/>
      <c r="I14" s="3"/>
      <c r="J14" s="3"/>
      <c r="K14" s="3"/>
      <c r="L14" s="3"/>
      <c r="M14" s="3"/>
      <c r="N14" s="3"/>
      <c r="O14" s="3"/>
    </row>
    <row r="15" spans="1:15" ht="14.5" x14ac:dyDescent="0.35">
      <c r="A15" s="58" t="str">
        <f>"in Prozent: " &amp; Verae_proz_gesamt</f>
        <v>in Prozent: -4,8</v>
      </c>
      <c r="B15" s="21"/>
      <c r="C15" s="22"/>
      <c r="D15" s="23"/>
      <c r="E15" s="24"/>
      <c r="H15" s="3"/>
      <c r="I15" s="3"/>
      <c r="J15" s="3"/>
      <c r="K15" s="3"/>
      <c r="L15" s="3"/>
      <c r="M15" s="3"/>
      <c r="N15" s="3"/>
      <c r="O15" s="3"/>
    </row>
    <row r="16" spans="1:15" x14ac:dyDescent="0.35">
      <c r="B16" s="21"/>
      <c r="C16" s="22"/>
      <c r="D16" s="23"/>
      <c r="E16" s="24"/>
      <c r="H16" s="3"/>
      <c r="I16" s="3"/>
      <c r="J16" s="3"/>
      <c r="K16" s="3"/>
      <c r="L16" s="3"/>
      <c r="M16" s="3"/>
      <c r="N16" s="3"/>
      <c r="O16" s="3"/>
    </row>
    <row r="17" spans="1:15" x14ac:dyDescent="0.35">
      <c r="B17" s="21"/>
      <c r="C17" s="22"/>
      <c r="D17" s="23"/>
      <c r="E17" s="24"/>
      <c r="H17" s="3"/>
      <c r="I17" s="3"/>
      <c r="J17" s="3"/>
      <c r="K17" s="3"/>
      <c r="L17" s="3"/>
      <c r="M17" s="3"/>
      <c r="N17" s="3"/>
      <c r="O17" s="3"/>
    </row>
    <row r="18" spans="1:15" x14ac:dyDescent="0.35">
      <c r="B18" s="21"/>
      <c r="C18" s="22"/>
      <c r="D18" s="23"/>
      <c r="E18" s="24"/>
      <c r="H18" s="3"/>
      <c r="I18" s="3"/>
      <c r="J18" s="3"/>
      <c r="K18" s="3"/>
      <c r="L18" s="3"/>
      <c r="M18" s="3"/>
      <c r="N18" s="3"/>
      <c r="O18" s="3"/>
    </row>
    <row r="19" spans="1:15" x14ac:dyDescent="0.35">
      <c r="B19" s="21"/>
      <c r="C19" s="22"/>
      <c r="D19" s="23"/>
      <c r="E19" s="24"/>
      <c r="H19" s="3"/>
      <c r="I19" s="3"/>
      <c r="J19" s="3"/>
      <c r="K19" s="3"/>
      <c r="L19" s="3"/>
      <c r="M19" s="3"/>
      <c r="N19" s="3"/>
      <c r="O19" s="3"/>
    </row>
    <row r="20" spans="1:15" ht="15.5" x14ac:dyDescent="0.35">
      <c r="B20" s="66" t="str">
        <f>Kartentitel</f>
        <v>Regionaler Außenhandel 2024 in 1.000 Euro, endgültige Daten</v>
      </c>
      <c r="C20" s="66"/>
      <c r="D20" s="66"/>
      <c r="E20" s="66" t="str">
        <f>Kartentitel</f>
        <v>Regionaler Außenhandel 2024 in 1.000 Euro, endgültige Daten</v>
      </c>
      <c r="F20" s="66"/>
      <c r="G20" s="66"/>
      <c r="H20" s="66"/>
      <c r="I20" s="66"/>
      <c r="J20" s="66"/>
      <c r="K20" s="66"/>
      <c r="L20" s="3"/>
      <c r="M20" s="3"/>
      <c r="N20" s="3"/>
      <c r="O20" s="3"/>
    </row>
    <row r="21" spans="1:15" x14ac:dyDescent="0.35">
      <c r="B21" s="21"/>
      <c r="C21" s="22"/>
      <c r="D21" s="23"/>
      <c r="E21" s="24"/>
      <c r="H21" s="3"/>
      <c r="I21" s="3"/>
      <c r="J21" s="3"/>
      <c r="K21" s="3"/>
      <c r="L21" s="3"/>
      <c r="M21" s="3"/>
      <c r="N21" s="3"/>
      <c r="O21" s="3"/>
    </row>
    <row r="22" spans="1:15" x14ac:dyDescent="0.35">
      <c r="B22" s="25"/>
      <c r="C22" s="26"/>
      <c r="D22" s="27"/>
      <c r="E22" s="28"/>
      <c r="G22" s="5"/>
      <c r="H22" s="29"/>
      <c r="I22" s="29"/>
      <c r="J22" s="29"/>
      <c r="K22" s="29"/>
      <c r="L22" s="29"/>
      <c r="M22" s="29"/>
      <c r="N22" s="29"/>
      <c r="O22" s="29"/>
    </row>
    <row r="27" spans="1:15" ht="14.5" x14ac:dyDescent="0.35">
      <c r="A27" s="59" t="str">
        <f>Auswahl_Bundesland&amp;":"</f>
        <v>Burgenland:</v>
      </c>
    </row>
    <row r="28" spans="1:15" ht="14.5" x14ac:dyDescent="0.35">
      <c r="A28" s="56" t="str">
        <f>Richtung</f>
        <v>Exporte</v>
      </c>
    </row>
    <row r="29" spans="1:15" ht="14.5" x14ac:dyDescent="0.35">
      <c r="A29" s="54">
        <f>IF(ISERROR(AH_BLD),"keine Daten verfügbar",AH_BLD)</f>
        <v>2868885.31</v>
      </c>
    </row>
    <row r="30" spans="1:15" ht="14.5" x14ac:dyDescent="0.35">
      <c r="A30" s="56" t="s">
        <v>28</v>
      </c>
    </row>
    <row r="31" spans="1:15" ht="14.5" x14ac:dyDescent="0.35">
      <c r="A31" s="58" t="str">
        <f>"absolut: " &amp; Verae_absolut_bld</f>
        <v>absolut: 16.708</v>
      </c>
    </row>
    <row r="32" spans="1:15" ht="14.5" x14ac:dyDescent="0.35">
      <c r="A32" s="58" t="str">
        <f>"in Prozent: " &amp; Verae_proz_bld</f>
        <v>in Prozent: 0,6</v>
      </c>
    </row>
    <row r="35" spans="1:11" x14ac:dyDescent="0.35">
      <c r="A35" s="55"/>
    </row>
    <row r="36" spans="1:11" ht="7" customHeight="1" x14ac:dyDescent="0.35"/>
    <row r="37" spans="1:11" ht="15.5" x14ac:dyDescent="0.35">
      <c r="A37" s="57" t="s">
        <v>52</v>
      </c>
      <c r="B37" s="42"/>
      <c r="G37" s="2"/>
    </row>
    <row r="38" spans="1:11" ht="14.5" x14ac:dyDescent="0.35">
      <c r="A38" s="42"/>
      <c r="B38" s="60" t="s">
        <v>53</v>
      </c>
      <c r="C38" s="3"/>
      <c r="D38" s="3"/>
      <c r="E38" s="4"/>
      <c r="F38" s="3"/>
      <c r="H38" s="6"/>
      <c r="I38" s="3"/>
      <c r="J38" s="3"/>
      <c r="K38" s="4"/>
    </row>
    <row r="39" spans="1:11" ht="14.5" x14ac:dyDescent="0.35">
      <c r="A39" s="42"/>
      <c r="B39" s="57" t="s">
        <v>54</v>
      </c>
      <c r="C39" s="3"/>
      <c r="D39" s="3"/>
      <c r="E39" s="4"/>
      <c r="F39" s="3"/>
      <c r="H39" s="6"/>
      <c r="I39" s="3"/>
      <c r="J39" s="3"/>
      <c r="K39" s="4"/>
    </row>
    <row r="40" spans="1:11" x14ac:dyDescent="0.35">
      <c r="C40" s="3"/>
      <c r="D40" s="3"/>
      <c r="E40" s="4"/>
      <c r="F40" s="3"/>
      <c r="H40" s="6"/>
      <c r="I40" s="3"/>
      <c r="J40" s="3"/>
      <c r="K40" s="4"/>
    </row>
    <row r="41" spans="1:11" x14ac:dyDescent="0.35">
      <c r="C41" s="3"/>
      <c r="D41" s="3"/>
      <c r="E41" s="4"/>
      <c r="F41" s="3"/>
      <c r="H41" s="6"/>
      <c r="I41" s="3"/>
      <c r="J41" s="3"/>
      <c r="K41" s="4"/>
    </row>
    <row r="42" spans="1:11" x14ac:dyDescent="0.35">
      <c r="C42" s="3"/>
      <c r="D42" s="3"/>
      <c r="E42" s="4"/>
      <c r="F42" s="3"/>
      <c r="H42" s="6"/>
      <c r="I42" s="3"/>
      <c r="J42" s="3"/>
      <c r="K42" s="4"/>
    </row>
    <row r="43" spans="1:11" x14ac:dyDescent="0.35">
      <c r="C43" s="3"/>
      <c r="D43" s="3"/>
      <c r="E43" s="4"/>
      <c r="F43" s="3"/>
      <c r="H43" s="6"/>
      <c r="I43" s="3"/>
      <c r="J43" s="3"/>
      <c r="K43" s="4"/>
    </row>
    <row r="44" spans="1:11" x14ac:dyDescent="0.35">
      <c r="C44" s="3"/>
      <c r="D44" s="3"/>
      <c r="E44" s="4"/>
      <c r="F44" s="3"/>
      <c r="H44" s="6"/>
      <c r="I44" s="3"/>
      <c r="J44" s="3"/>
      <c r="K44" s="4"/>
    </row>
    <row r="45" spans="1:11" x14ac:dyDescent="0.35">
      <c r="C45" s="3"/>
      <c r="D45" s="3"/>
      <c r="E45" s="4"/>
      <c r="F45" s="3"/>
      <c r="H45" s="6"/>
      <c r="I45" s="3"/>
      <c r="J45" s="3"/>
      <c r="K45" s="4"/>
    </row>
    <row r="46" spans="1:11" x14ac:dyDescent="0.35">
      <c r="C46" s="3"/>
      <c r="D46" s="3"/>
      <c r="E46" s="4"/>
      <c r="F46" s="3"/>
      <c r="H46" s="6"/>
      <c r="I46" s="3"/>
      <c r="J46" s="3"/>
      <c r="K46" s="4"/>
    </row>
    <row r="47" spans="1:11" x14ac:dyDescent="0.35">
      <c r="C47" s="3"/>
      <c r="D47" s="3"/>
      <c r="E47" s="4"/>
      <c r="F47" s="3"/>
      <c r="H47" s="6"/>
      <c r="I47" s="3"/>
      <c r="J47" s="3"/>
      <c r="K47" s="4"/>
    </row>
  </sheetData>
  <sheetProtection algorithmName="SHA-512" hashValue="sQuff0v4Pmh+bn5SA9N2qXwf066hCxhbxX3QXvVc7QELYPivUdTJj/PHFASD/iocCiNReUBmc/iz/WiRfENBfA==" saltValue="Bcl9nRHpcD3ZGhr/Vv3Gxw==" spinCount="100000" sheet="1" scenarios="1"/>
  <mergeCells count="3">
    <mergeCell ref="L9:M9"/>
    <mergeCell ref="N9:O9"/>
    <mergeCell ref="B20:K20"/>
  </mergeCells>
  <conditionalFormatting sqref="B38">
    <cfRule type="containsText" dxfId="2" priority="3" operator="containsText" text="vorläufig">
      <formula>NOT(ISERROR(SEARCH("vorläufig",B38)))</formula>
    </cfRule>
  </conditionalFormatting>
  <conditionalFormatting sqref="C38:C47">
    <cfRule type="dataBar" priority="48">
      <dataBar showValue="0">
        <cfvo type="min"/>
        <cfvo type="max"/>
        <color rgb="FF375F91"/>
      </dataBar>
      <extLst>
        <ext xmlns:x14="http://schemas.microsoft.com/office/spreadsheetml/2009/9/main" uri="{B025F937-C7B1-47D3-B67F-A62EFF666E3E}">
          <x14:id>{E189AC05-A8EC-425C-A579-A8DE3548D919}</x14:id>
        </ext>
      </extLst>
    </cfRule>
  </conditionalFormatting>
  <conditionalFormatting sqref="D2">
    <cfRule type="expression" dxfId="1" priority="2">
      <formula>$G$2="vorläufige Daten"</formula>
    </cfRule>
  </conditionalFormatting>
  <conditionalFormatting sqref="G2">
    <cfRule type="containsText" dxfId="0" priority="5" operator="containsText" text="vorläufig">
      <formula>NOT(ISERROR(SEARCH("vorläufig",G2)))</formula>
    </cfRule>
  </conditionalFormatting>
  <conditionalFormatting sqref="I8">
    <cfRule type="dataBar" priority="28">
      <dataBar showValue="0">
        <cfvo type="min"/>
        <cfvo type="max"/>
        <color rgb="FF375F91"/>
      </dataBar>
      <extLst>
        <ext xmlns:x14="http://schemas.microsoft.com/office/spreadsheetml/2009/9/main" uri="{B025F937-C7B1-47D3-B67F-A62EFF666E3E}">
          <x14:id>{0C9D43DB-C3F9-4DEC-8592-D8FCF9751D4E}</x14:id>
        </ext>
      </extLst>
    </cfRule>
    <cfRule type="dataBar" priority="2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{AE1E9AD6-831B-4AC6-AD68-F9A04EFE2F44}</x14:id>
        </ext>
      </extLst>
    </cfRule>
  </conditionalFormatting>
  <conditionalFormatting sqref="I38:I47">
    <cfRule type="dataBar" priority="49">
      <dataBar showValue="0">
        <cfvo type="min"/>
        <cfvo type="max"/>
        <color rgb="FF963737"/>
      </dataBar>
      <extLst>
        <ext xmlns:x14="http://schemas.microsoft.com/office/spreadsheetml/2009/9/main" uri="{B025F937-C7B1-47D3-B67F-A62EFF666E3E}">
          <x14:id>{EF18905C-1292-40F7-A83B-6374AB0EF201}</x14:id>
        </ext>
      </extLst>
    </cfRule>
  </conditionalFormatting>
  <conditionalFormatting sqref="K8">
    <cfRule type="dataBar" priority="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{F7E84E57-4017-4CF2-952D-5611C2DBDEFA}</x14:id>
        </ext>
      </extLst>
    </cfRule>
  </conditionalFormatting>
  <conditionalFormatting sqref="K8:K10">
    <cfRule type="dataBar" priority="35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{FB9033B5-0304-4ED1-B192-46EABD9AF46F}</x14:id>
        </ext>
      </extLst>
    </cfRule>
  </conditionalFormatting>
  <conditionalFormatting sqref="K9:K10">
    <cfRule type="iconSet" priority="33">
      <iconSet iconSet="3Arrows" showValue="0">
        <cfvo type="percent" val="0"/>
        <cfvo type="num" val="0"/>
        <cfvo type="num" val="0"/>
      </iconSet>
    </cfRule>
  </conditionalFormatting>
  <conditionalFormatting sqref="L9:L10">
    <cfRule type="iconSet" priority="25">
      <iconSet iconSet="3Arrows" showValue="0">
        <cfvo type="percent" val="0"/>
        <cfvo type="num" val="0"/>
        <cfvo type="num" val="0"/>
      </iconSet>
    </cfRule>
    <cfRule type="dataBar" priority="26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{509BD96F-6BF6-4A44-898A-ADBEF087B4AE}</x14:id>
        </ext>
      </extLst>
    </cfRule>
  </conditionalFormatting>
  <conditionalFormatting sqref="N9:N10">
    <cfRule type="iconSet" priority="23">
      <iconSet iconSet="3Arrows" showValue="0">
        <cfvo type="percent" val="0"/>
        <cfvo type="num" val="0"/>
        <cfvo type="num" val="0"/>
      </iconSet>
    </cfRule>
    <cfRule type="dataBar" priority="24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{5FCF67B7-4208-40D1-ADED-F3EBC431759C}</x14:id>
        </ext>
      </extLst>
    </cfRule>
  </conditionalFormatting>
  <pageMargins left="0.23622047244094491" right="0.23622047244094491" top="0.43307086614173229" bottom="0.43307086614173229" header="0.35433070866141736" footer="0.35433070866141736"/>
  <pageSetup paperSize="9" fitToHeight="0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2354" r:id="rId4" name="Spinner 2">
              <controlPr defaultSize="0" autoPict="0">
                <anchor>
                  <from>
                    <xdr:col>3</xdr:col>
                    <xdr:colOff>590550</xdr:colOff>
                    <xdr:row>0</xdr:row>
                    <xdr:rowOff>57150</xdr:rowOff>
                  </from>
                  <to>
                    <xdr:col>4</xdr:col>
                    <xdr:colOff>12700</xdr:colOff>
                    <xdr:row>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6" r:id="rId5" name="Option Button 4">
              <controlPr defaultSize="0" autoFill="0" autoLine="0" autoPict="0">
                <anchor moveWithCells="1">
                  <from>
                    <xdr:col>1</xdr:col>
                    <xdr:colOff>279400</xdr:colOff>
                    <xdr:row>4</xdr:row>
                    <xdr:rowOff>127000</xdr:rowOff>
                  </from>
                  <to>
                    <xdr:col>1</xdr:col>
                    <xdr:colOff>876300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58" r:id="rId6" name="Option Button 6">
              <controlPr defaultSize="0" autoFill="0" autoLine="0" autoPict="0">
                <anchor moveWithCells="1">
                  <from>
                    <xdr:col>1</xdr:col>
                    <xdr:colOff>279400</xdr:colOff>
                    <xdr:row>5</xdr:row>
                    <xdr:rowOff>107950</xdr:rowOff>
                  </from>
                  <to>
                    <xdr:col>1</xdr:col>
                    <xdr:colOff>895350</xdr:colOff>
                    <xdr:row>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61" r:id="rId7" name="List Box 9">
              <controlPr defaultSize="0" autoLine="0" autoPict="0">
                <anchor moveWithCells="1">
                  <from>
                    <xdr:col>0</xdr:col>
                    <xdr:colOff>50800</xdr:colOff>
                    <xdr:row>16</xdr:row>
                    <xdr:rowOff>69850</xdr:rowOff>
                  </from>
                  <to>
                    <xdr:col>1</xdr:col>
                    <xdr:colOff>38100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62" r:id="rId8" name="Group Box 10">
              <controlPr defaultSize="0" autoFill="0" autoPict="0">
                <anchor moveWithCells="1">
                  <from>
                    <xdr:col>1</xdr:col>
                    <xdr:colOff>222250</xdr:colOff>
                    <xdr:row>4</xdr:row>
                    <xdr:rowOff>88900</xdr:rowOff>
                  </from>
                  <to>
                    <xdr:col>1</xdr:col>
                    <xdr:colOff>971550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69" r:id="rId9" name="Group Box 17">
              <controlPr defaultSize="0" autoFill="0" autoPict="0">
                <anchor moveWithCells="1">
                  <from>
                    <xdr:col>0</xdr:col>
                    <xdr:colOff>247650</xdr:colOff>
                    <xdr:row>3</xdr:row>
                    <xdr:rowOff>171450</xdr:rowOff>
                  </from>
                  <to>
                    <xdr:col>0</xdr:col>
                    <xdr:colOff>1308100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70" r:id="rId10" name="Option Button 18">
              <controlPr defaultSize="0" autoFill="0" autoLine="0" autoPict="0">
                <anchor moveWithCells="1">
                  <from>
                    <xdr:col>0</xdr:col>
                    <xdr:colOff>336550</xdr:colOff>
                    <xdr:row>4</xdr:row>
                    <xdr:rowOff>12700</xdr:rowOff>
                  </from>
                  <to>
                    <xdr:col>0</xdr:col>
                    <xdr:colOff>1162050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71" r:id="rId11" name="Option Button 19">
              <controlPr defaultSize="0" autoFill="0" autoLine="0" autoPict="0">
                <anchor moveWithCells="1">
                  <from>
                    <xdr:col>0</xdr:col>
                    <xdr:colOff>336550</xdr:colOff>
                    <xdr:row>4</xdr:row>
                    <xdr:rowOff>184150</xdr:rowOff>
                  </from>
                  <to>
                    <xdr:col>0</xdr:col>
                    <xdr:colOff>1162050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72" r:id="rId12" name="Option Button 20">
              <controlPr defaultSize="0" autoFill="0" autoLine="0" autoPict="0">
                <anchor moveWithCells="1">
                  <from>
                    <xdr:col>0</xdr:col>
                    <xdr:colOff>336550</xdr:colOff>
                    <xdr:row>5</xdr:row>
                    <xdr:rowOff>146050</xdr:rowOff>
                  </from>
                  <to>
                    <xdr:col>0</xdr:col>
                    <xdr:colOff>1219200</xdr:colOff>
                    <xdr:row>6</xdr:row>
                    <xdr:rowOff>146050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607CF2B-57EC-464B-B67A-D3411B13614F}">
            <xm:f>Regionaler_AH_Jahresdaten!$K$55&lt;0</xm:f>
            <x14:dxf>
              <font>
                <b/>
                <i val="0"/>
                <color rgb="FFE20613"/>
              </font>
            </x14:dxf>
          </x14:cfRule>
          <xm:sqref>A14:A15</xm:sqref>
        </x14:conditionalFormatting>
        <x14:conditionalFormatting xmlns:xm="http://schemas.microsoft.com/office/excel/2006/main">
          <x14:cfRule type="expression" priority="7" id="{A2DA9C1D-16A3-42BE-A68C-96682ABE5AC4}">
            <xm:f>Regionaler_AH_Jahresdaten!$K$57&lt;0</xm:f>
            <x14:dxf>
              <font>
                <b/>
                <i val="0"/>
                <color rgb="FFE20613"/>
              </font>
            </x14:dxf>
          </x14:cfRule>
          <xm:sqref>A31</xm:sqref>
        </x14:conditionalFormatting>
        <x14:conditionalFormatting xmlns:xm="http://schemas.microsoft.com/office/excel/2006/main">
          <x14:cfRule type="expression" priority="6" id="{F68D0B75-6E91-475F-B144-2DD2E30E7A0A}">
            <xm:f>Regionaler_AH_Jahresdaten!$L$57&lt;0</xm:f>
            <x14:dxf>
              <font>
                <b/>
                <i val="0"/>
                <color rgb="FFE20613"/>
              </font>
            </x14:dxf>
          </x14:cfRule>
          <xm:sqref>A32</xm:sqref>
        </x14:conditionalFormatting>
        <x14:conditionalFormatting xmlns:xm="http://schemas.microsoft.com/office/excel/2006/main">
          <x14:cfRule type="dataBar" id="{E189AC05-A8EC-425C-A579-A8DE3548D9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C38:C47</xm:sqref>
        </x14:conditionalFormatting>
        <x14:conditionalFormatting xmlns:xm="http://schemas.microsoft.com/office/excel/2006/main">
          <x14:cfRule type="dataBar" id="{0C9D43DB-C3F9-4DEC-8592-D8FCF9751D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1E9AD6-831B-4AC6-AD68-F9A04EFE2F44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I8</xm:sqref>
        </x14:conditionalFormatting>
        <x14:conditionalFormatting xmlns:xm="http://schemas.microsoft.com/office/excel/2006/main">
          <x14:cfRule type="dataBar" id="{EF18905C-1292-40F7-A83B-6374AB0EF2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I38:I47</xm:sqref>
        </x14:conditionalFormatting>
        <x14:conditionalFormatting xmlns:xm="http://schemas.microsoft.com/office/excel/2006/main">
          <x14:cfRule type="dataBar" id="{F7E84E57-4017-4CF2-952D-5611C2DBDE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</xm:sqref>
        </x14:conditionalFormatting>
        <x14:conditionalFormatting xmlns:xm="http://schemas.microsoft.com/office/excel/2006/main">
          <x14:cfRule type="dataBar" id="{FB9033B5-0304-4ED1-B192-46EABD9AF46F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K8:K10</xm:sqref>
        </x14:conditionalFormatting>
        <x14:conditionalFormatting xmlns:xm="http://schemas.microsoft.com/office/excel/2006/main">
          <x14:cfRule type="dataBar" id="{509BD96F-6BF6-4A44-898A-ADBEF087B4AE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L9:L10</xm:sqref>
        </x14:conditionalFormatting>
        <x14:conditionalFormatting xmlns:xm="http://schemas.microsoft.com/office/excel/2006/main">
          <x14:cfRule type="dataBar" id="{5FCF67B7-4208-40D1-ADED-F3EBC431759C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N9:N10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>
      <selection activeCell="I38" sqref="I38"/>
    </sheetView>
  </sheetViews>
  <sheetFormatPr baseColWidth="10" defaultRowHeight="12.5" x14ac:dyDescent="0.25"/>
  <cols>
    <col min="1" max="1" width="29.453125" bestFit="1" customWidth="1"/>
  </cols>
  <sheetData>
    <row r="1" spans="1:4" x14ac:dyDescent="0.25">
      <c r="A1" t="s">
        <v>38</v>
      </c>
      <c r="B1">
        <v>1</v>
      </c>
      <c r="C1" t="str">
        <f>IF(B1=1,"Jahresdaten","Halbjahresdaten")</f>
        <v>Jahresdaten</v>
      </c>
    </row>
    <row r="2" spans="1:4" x14ac:dyDescent="0.25">
      <c r="A2" t="s">
        <v>39</v>
      </c>
      <c r="B2">
        <v>2</v>
      </c>
      <c r="C2" t="str">
        <f>IF($B$2=1,"in Euro",IF($B$2=2,"in 1.000 Euro","in Mio. Euro"))</f>
        <v>in 1.000 Euro</v>
      </c>
      <c r="D2">
        <f>IF($B$2=1,1,IF($B$2=2,1000,1000000))</f>
        <v>1000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11.453125" style="30"/>
    <col min="2" max="2" width="19.81640625" style="30" customWidth="1"/>
    <col min="3" max="3" width="17.26953125" style="30" customWidth="1"/>
    <col min="4" max="16" width="15.1796875" style="30" customWidth="1"/>
    <col min="17" max="17" width="20.453125" style="30" customWidth="1"/>
    <col min="18" max="20" width="17.26953125" style="30" customWidth="1"/>
    <col min="21" max="21" width="9.7265625" style="30" customWidth="1"/>
    <col min="22" max="22" width="15.1796875" style="30" customWidth="1"/>
    <col min="23" max="23" width="9.7265625" style="30" customWidth="1"/>
    <col min="24" max="24" width="15.1796875" style="30" customWidth="1"/>
    <col min="25" max="25" width="9.7265625" style="30" customWidth="1"/>
    <col min="26" max="26" width="15.1796875" style="30" customWidth="1"/>
    <col min="27" max="27" width="9.7265625" style="30" customWidth="1"/>
    <col min="28" max="28" width="15.1796875" style="30" customWidth="1"/>
    <col min="29" max="29" width="9.7265625" style="30" customWidth="1"/>
    <col min="30" max="30" width="15.1796875" style="30" customWidth="1"/>
    <col min="31" max="31" width="9.7265625" style="30" customWidth="1"/>
    <col min="32" max="32" width="15.1796875" style="30" customWidth="1"/>
    <col min="33" max="33" width="9.7265625" style="30" customWidth="1"/>
    <col min="34" max="34" width="20.453125" style="30" customWidth="1"/>
    <col min="35" max="35" width="9.7265625" style="30" customWidth="1"/>
    <col min="36" max="36" width="17.26953125" style="30" customWidth="1"/>
    <col min="37" max="37" width="9.7265625" style="30" customWidth="1"/>
    <col min="38" max="38" width="24.7265625" style="30" bestFit="1" customWidth="1"/>
    <col min="39" max="39" width="15.1796875" style="30" customWidth="1"/>
    <col min="40" max="40" width="9.7265625" style="30" customWidth="1"/>
    <col min="41" max="41" width="24.7265625" style="30" bestFit="1" customWidth="1"/>
    <col min="42" max="42" width="15.1796875" style="30" customWidth="1"/>
    <col min="43" max="43" width="9.7265625" style="30" customWidth="1"/>
    <col min="44" max="44" width="24.7265625" style="30" bestFit="1" customWidth="1"/>
    <col min="45" max="45" width="15.1796875" style="30" customWidth="1"/>
    <col min="46" max="46" width="9.7265625" style="30" customWidth="1"/>
    <col min="47" max="47" width="24.7265625" style="30" bestFit="1" customWidth="1"/>
    <col min="48" max="48" width="15.1796875" style="30" customWidth="1"/>
    <col min="49" max="49" width="9.7265625" style="30" customWidth="1"/>
    <col min="50" max="50" width="24.7265625" style="30" bestFit="1" customWidth="1"/>
    <col min="51" max="51" width="20.453125" style="30" customWidth="1"/>
    <col min="52" max="52" width="9.7265625" style="30" customWidth="1"/>
    <col min="53" max="53" width="29.81640625" style="30" bestFit="1" customWidth="1"/>
    <col min="54" max="54" width="17.26953125" style="30" customWidth="1"/>
    <col min="55" max="55" width="20.453125" style="30" bestFit="1" customWidth="1"/>
    <col min="56" max="56" width="9.7265625" style="30" bestFit="1" customWidth="1"/>
    <col min="57" max="57" width="29.81640625" style="30" bestFit="1" customWidth="1"/>
    <col min="58" max="58" width="9.81640625" style="30" bestFit="1" customWidth="1"/>
    <col min="59" max="59" width="17.7265625" style="30" bestFit="1" customWidth="1"/>
    <col min="60" max="61" width="17.26953125" style="30" bestFit="1" customWidth="1"/>
    <col min="62" max="16384" width="11.453125" style="30"/>
  </cols>
  <sheetData>
    <row r="1" spans="1:3" x14ac:dyDescent="0.35">
      <c r="C1" t="s">
        <v>0</v>
      </c>
    </row>
    <row r="2" spans="1:3" x14ac:dyDescent="0.35">
      <c r="A2" s="30">
        <v>4</v>
      </c>
      <c r="B2">
        <v>2010</v>
      </c>
      <c r="C2">
        <v>2024</v>
      </c>
    </row>
    <row r="3" spans="1:3" x14ac:dyDescent="0.35">
      <c r="A3" s="30">
        <v>5</v>
      </c>
      <c r="B3">
        <v>2011</v>
      </c>
      <c r="C3"/>
    </row>
    <row r="4" spans="1:3" x14ac:dyDescent="0.35">
      <c r="A4" s="30">
        <v>6</v>
      </c>
      <c r="B4">
        <v>2012</v>
      </c>
      <c r="C4"/>
    </row>
    <row r="5" spans="1:3" x14ac:dyDescent="0.35">
      <c r="A5" s="30">
        <v>7</v>
      </c>
      <c r="B5">
        <v>2013</v>
      </c>
      <c r="C5"/>
    </row>
    <row r="6" spans="1:3" x14ac:dyDescent="0.35">
      <c r="A6" s="30">
        <v>8</v>
      </c>
      <c r="B6">
        <v>2014</v>
      </c>
      <c r="C6"/>
    </row>
    <row r="7" spans="1:3" x14ac:dyDescent="0.35">
      <c r="A7" s="30">
        <v>9</v>
      </c>
      <c r="B7">
        <v>2015</v>
      </c>
      <c r="C7"/>
    </row>
    <row r="8" spans="1:3" x14ac:dyDescent="0.35">
      <c r="A8" s="30">
        <v>10</v>
      </c>
      <c r="B8">
        <v>2016</v>
      </c>
      <c r="C8"/>
    </row>
    <row r="9" spans="1:3" x14ac:dyDescent="0.35">
      <c r="A9" s="30">
        <v>11</v>
      </c>
      <c r="B9">
        <v>2017</v>
      </c>
      <c r="C9"/>
    </row>
    <row r="10" spans="1:3" x14ac:dyDescent="0.35">
      <c r="A10" s="30">
        <v>12</v>
      </c>
      <c r="B10">
        <v>2018</v>
      </c>
      <c r="C10"/>
    </row>
    <row r="11" spans="1:3" x14ac:dyDescent="0.35">
      <c r="A11" s="30">
        <v>13</v>
      </c>
      <c r="B11">
        <v>2019</v>
      </c>
      <c r="C11"/>
    </row>
    <row r="12" spans="1:3" x14ac:dyDescent="0.35">
      <c r="A12" s="30">
        <v>14</v>
      </c>
      <c r="B12">
        <v>2020</v>
      </c>
      <c r="C12"/>
    </row>
    <row r="13" spans="1:3" x14ac:dyDescent="0.35">
      <c r="A13" s="30">
        <v>15</v>
      </c>
      <c r="B13">
        <v>2021</v>
      </c>
      <c r="C13"/>
    </row>
    <row r="14" spans="1:3" x14ac:dyDescent="0.35">
      <c r="A14" s="30">
        <v>16</v>
      </c>
      <c r="B14">
        <v>2022</v>
      </c>
      <c r="C14"/>
    </row>
    <row r="15" spans="1:3" x14ac:dyDescent="0.35">
      <c r="A15" s="30">
        <v>17</v>
      </c>
      <c r="B15">
        <v>2023</v>
      </c>
      <c r="C15"/>
    </row>
    <row r="16" spans="1:3" x14ac:dyDescent="0.35">
      <c r="A16" s="30">
        <v>18</v>
      </c>
      <c r="B16">
        <v>2024</v>
      </c>
      <c r="C16"/>
    </row>
    <row r="17" spans="2:3" x14ac:dyDescent="0.35">
      <c r="B17" t="s">
        <v>30</v>
      </c>
      <c r="C17"/>
    </row>
    <row r="18" spans="2:3" x14ac:dyDescent="0.35">
      <c r="B18" t="s">
        <v>30</v>
      </c>
      <c r="C18"/>
    </row>
    <row r="19" spans="2:3" x14ac:dyDescent="0.35">
      <c r="B19" t="s">
        <v>30</v>
      </c>
    </row>
    <row r="20" spans="2:3" x14ac:dyDescent="0.35">
      <c r="B20" t="s">
        <v>30</v>
      </c>
    </row>
    <row r="21" spans="2:3" x14ac:dyDescent="0.35">
      <c r="B21" t="s">
        <v>30</v>
      </c>
    </row>
    <row r="22" spans="2:3" x14ac:dyDescent="0.35">
      <c r="B22" t="s">
        <v>30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1"/>
  <sheetViews>
    <sheetView workbookViewId="0">
      <selection activeCell="I38" sqref="I38"/>
    </sheetView>
  </sheetViews>
  <sheetFormatPr baseColWidth="10" defaultColWidth="11.453125" defaultRowHeight="14.5" x14ac:dyDescent="0.35"/>
  <cols>
    <col min="1" max="1" width="19.81640625" style="30" customWidth="1"/>
    <col min="2" max="2" width="17.26953125" style="30" customWidth="1"/>
    <col min="3" max="16" width="15.1796875" style="30" customWidth="1"/>
    <col min="17" max="17" width="20.453125" style="30" customWidth="1"/>
    <col min="18" max="20" width="17.26953125" style="30" customWidth="1"/>
    <col min="21" max="21" width="9.7265625" style="30" customWidth="1"/>
    <col min="22" max="22" width="15.1796875" style="30" customWidth="1"/>
    <col min="23" max="23" width="9.7265625" style="30" customWidth="1"/>
    <col min="24" max="24" width="15.1796875" style="30" customWidth="1"/>
    <col min="25" max="25" width="9.7265625" style="30" customWidth="1"/>
    <col min="26" max="26" width="15.1796875" style="30" customWidth="1"/>
    <col min="27" max="27" width="9.7265625" style="30" customWidth="1"/>
    <col min="28" max="28" width="15.1796875" style="30" customWidth="1"/>
    <col min="29" max="29" width="9.7265625" style="30" customWidth="1"/>
    <col min="30" max="30" width="15.1796875" style="30" customWidth="1"/>
    <col min="31" max="31" width="9.7265625" style="30" customWidth="1"/>
    <col min="32" max="32" width="15.1796875" style="30" customWidth="1"/>
    <col min="33" max="33" width="9.7265625" style="30" customWidth="1"/>
    <col min="34" max="34" width="20.453125" style="30" customWidth="1"/>
    <col min="35" max="35" width="9.7265625" style="30" customWidth="1"/>
    <col min="36" max="36" width="17.26953125" style="30" customWidth="1"/>
    <col min="37" max="37" width="9.7265625" style="30" customWidth="1"/>
    <col min="38" max="38" width="24.7265625" style="30" bestFit="1" customWidth="1"/>
    <col min="39" max="39" width="15.1796875" style="30" customWidth="1"/>
    <col min="40" max="40" width="9.7265625" style="30" customWidth="1"/>
    <col min="41" max="41" width="24.7265625" style="30" bestFit="1" customWidth="1"/>
    <col min="42" max="42" width="15.1796875" style="30" customWidth="1"/>
    <col min="43" max="43" width="9.7265625" style="30" customWidth="1"/>
    <col min="44" max="44" width="24.7265625" style="30" bestFit="1" customWidth="1"/>
    <col min="45" max="45" width="15.1796875" style="30" customWidth="1"/>
    <col min="46" max="46" width="9.7265625" style="30" customWidth="1"/>
    <col min="47" max="47" width="24.7265625" style="30" bestFit="1" customWidth="1"/>
    <col min="48" max="48" width="15.1796875" style="30" customWidth="1"/>
    <col min="49" max="49" width="9.7265625" style="30" customWidth="1"/>
    <col min="50" max="50" width="24.7265625" style="30" bestFit="1" customWidth="1"/>
    <col min="51" max="51" width="20.453125" style="30" customWidth="1"/>
    <col min="52" max="52" width="9.7265625" style="30" customWidth="1"/>
    <col min="53" max="53" width="29.81640625" style="30" bestFit="1" customWidth="1"/>
    <col min="54" max="54" width="17.26953125" style="30" customWidth="1"/>
    <col min="55" max="55" width="20.453125" style="30" bestFit="1" customWidth="1"/>
    <col min="56" max="56" width="9.7265625" style="30" bestFit="1" customWidth="1"/>
    <col min="57" max="57" width="29.81640625" style="30" bestFit="1" customWidth="1"/>
    <col min="58" max="58" width="9.81640625" style="30" bestFit="1" customWidth="1"/>
    <col min="59" max="59" width="17.7265625" style="30" bestFit="1" customWidth="1"/>
    <col min="60" max="61" width="17.26953125" style="30" bestFit="1" customWidth="1"/>
    <col min="62" max="16384" width="11.453125" style="30"/>
  </cols>
  <sheetData>
    <row r="1" spans="1:4" x14ac:dyDescent="0.35">
      <c r="C1" t="s">
        <v>0</v>
      </c>
      <c r="D1" s="30" t="s">
        <v>25</v>
      </c>
    </row>
    <row r="2" spans="1:4" x14ac:dyDescent="0.35">
      <c r="A2" s="30">
        <v>1</v>
      </c>
      <c r="B2" t="s">
        <v>10</v>
      </c>
      <c r="C2" s="30">
        <v>2</v>
      </c>
      <c r="D2" s="30" t="str">
        <f>LOOKUP(C2,A2:B11)</f>
        <v>Burgenland</v>
      </c>
    </row>
    <row r="3" spans="1:4" x14ac:dyDescent="0.35">
      <c r="A3" s="30">
        <v>2</v>
      </c>
      <c r="B3" t="s">
        <v>1</v>
      </c>
      <c r="C3"/>
    </row>
    <row r="4" spans="1:4" x14ac:dyDescent="0.35">
      <c r="A4" s="30">
        <v>3</v>
      </c>
      <c r="B4" t="s">
        <v>2</v>
      </c>
      <c r="C4"/>
    </row>
    <row r="5" spans="1:4" x14ac:dyDescent="0.35">
      <c r="A5" s="30">
        <v>4</v>
      </c>
      <c r="B5" t="s">
        <v>3</v>
      </c>
      <c r="C5"/>
    </row>
    <row r="6" spans="1:4" x14ac:dyDescent="0.35">
      <c r="A6" s="30">
        <v>5</v>
      </c>
      <c r="B6" t="s">
        <v>4</v>
      </c>
      <c r="C6"/>
    </row>
    <row r="7" spans="1:4" x14ac:dyDescent="0.35">
      <c r="A7" s="30">
        <v>6</v>
      </c>
      <c r="B7" t="s">
        <v>5</v>
      </c>
      <c r="C7"/>
    </row>
    <row r="8" spans="1:4" x14ac:dyDescent="0.35">
      <c r="A8" s="30">
        <v>7</v>
      </c>
      <c r="B8" t="s">
        <v>6</v>
      </c>
      <c r="C8"/>
    </row>
    <row r="9" spans="1:4" x14ac:dyDescent="0.35">
      <c r="A9" s="30">
        <v>8</v>
      </c>
      <c r="B9" t="s">
        <v>7</v>
      </c>
      <c r="C9"/>
    </row>
    <row r="10" spans="1:4" x14ac:dyDescent="0.35">
      <c r="A10" s="30">
        <v>9</v>
      </c>
      <c r="B10" t="s">
        <v>8</v>
      </c>
      <c r="C10"/>
    </row>
    <row r="11" spans="1:4" x14ac:dyDescent="0.35">
      <c r="A11" s="30">
        <v>10</v>
      </c>
      <c r="B11" t="s">
        <v>9</v>
      </c>
      <c r="C11"/>
    </row>
    <row r="13" spans="1:4" x14ac:dyDescent="0.35">
      <c r="A13"/>
      <c r="B13"/>
    </row>
    <row r="14" spans="1:4" x14ac:dyDescent="0.35">
      <c r="A14"/>
      <c r="B14"/>
    </row>
    <row r="15" spans="1:4" x14ac:dyDescent="0.35">
      <c r="A15"/>
      <c r="B15"/>
    </row>
    <row r="16" spans="1:4" x14ac:dyDescent="0.35">
      <c r="A16"/>
      <c r="B16"/>
    </row>
    <row r="17" spans="1:2" x14ac:dyDescent="0.35">
      <c r="A17"/>
      <c r="B17"/>
    </row>
    <row r="18" spans="1:2" x14ac:dyDescent="0.35">
      <c r="A18"/>
      <c r="B18"/>
    </row>
    <row r="19" spans="1:2" x14ac:dyDescent="0.35">
      <c r="A19"/>
    </row>
    <row r="20" spans="1:2" x14ac:dyDescent="0.35">
      <c r="A20"/>
    </row>
    <row r="21" spans="1:2" x14ac:dyDescent="0.35">
      <c r="A21"/>
    </row>
    <row r="22" spans="1:2" x14ac:dyDescent="0.35">
      <c r="A22"/>
    </row>
    <row r="23" spans="1:2" x14ac:dyDescent="0.35">
      <c r="A23"/>
    </row>
    <row r="24" spans="1:2" x14ac:dyDescent="0.35">
      <c r="A24"/>
    </row>
    <row r="25" spans="1:2" x14ac:dyDescent="0.35">
      <c r="A25"/>
    </row>
    <row r="26" spans="1:2" x14ac:dyDescent="0.35">
      <c r="A26"/>
    </row>
    <row r="27" spans="1:2" x14ac:dyDescent="0.35">
      <c r="A27"/>
    </row>
    <row r="28" spans="1:2" x14ac:dyDescent="0.35">
      <c r="A28"/>
    </row>
    <row r="29" spans="1:2" x14ac:dyDescent="0.35">
      <c r="A29"/>
    </row>
    <row r="30" spans="1:2" x14ac:dyDescent="0.35">
      <c r="A30"/>
    </row>
    <row r="31" spans="1:2" x14ac:dyDescent="0.35">
      <c r="A3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5"/>
  <sheetViews>
    <sheetView topLeftCell="A58" workbookViewId="0">
      <selection activeCell="A16" sqref="A16:Q26"/>
    </sheetView>
  </sheetViews>
  <sheetFormatPr baseColWidth="10" defaultColWidth="11.453125" defaultRowHeight="14.5" x14ac:dyDescent="0.35"/>
  <cols>
    <col min="1" max="1" width="61.54296875" style="30" bestFit="1" customWidth="1"/>
    <col min="2" max="2" width="19.81640625" style="30" bestFit="1" customWidth="1"/>
    <col min="3" max="8" width="17.453125" style="30" bestFit="1" customWidth="1"/>
    <col min="9" max="10" width="17.26953125" style="30" bestFit="1" customWidth="1"/>
    <col min="11" max="11" width="26.453125" style="30" bestFit="1" customWidth="1"/>
    <col min="12" max="12" width="21" style="30" bestFit="1" customWidth="1"/>
    <col min="13" max="13" width="17" style="30" bestFit="1" customWidth="1"/>
    <col min="14" max="16" width="18.453125" style="30" bestFit="1" customWidth="1"/>
    <col min="17" max="21" width="29.7265625" style="30" bestFit="1" customWidth="1"/>
    <col min="22" max="22" width="22.453125" style="30" customWidth="1"/>
    <col min="23" max="23" width="24" style="30" customWidth="1"/>
    <col min="24" max="35" width="18.453125" style="30" customWidth="1"/>
    <col min="36" max="36" width="20.26953125" style="30" bestFit="1" customWidth="1"/>
    <col min="37" max="41" width="29.7265625" style="30" customWidth="1"/>
    <col min="42" max="42" width="17.26953125" style="30" customWidth="1"/>
    <col min="43" max="43" width="9.7265625" style="30" customWidth="1"/>
    <col min="44" max="44" width="15.1796875" style="30" customWidth="1"/>
    <col min="45" max="45" width="9.7265625" style="30" customWidth="1"/>
    <col min="46" max="46" width="15.1796875" style="30" customWidth="1"/>
    <col min="47" max="47" width="9.7265625" style="30" customWidth="1"/>
    <col min="48" max="48" width="15.1796875" style="30" customWidth="1"/>
    <col min="49" max="49" width="9.7265625" style="30" customWidth="1"/>
    <col min="50" max="50" width="15.1796875" style="30" customWidth="1"/>
    <col min="51" max="51" width="9.7265625" style="30" customWidth="1"/>
    <col min="52" max="52" width="15.1796875" style="30" customWidth="1"/>
    <col min="53" max="53" width="9.7265625" style="30" customWidth="1"/>
    <col min="54" max="54" width="15.1796875" style="30" customWidth="1"/>
    <col min="55" max="55" width="9.7265625" style="30" customWidth="1"/>
    <col min="56" max="56" width="20.453125" style="30" customWidth="1"/>
    <col min="57" max="57" width="9.7265625" style="30" customWidth="1"/>
    <col min="58" max="58" width="17.26953125" style="30" customWidth="1"/>
    <col min="59" max="59" width="9.7265625" style="30" customWidth="1"/>
    <col min="60" max="60" width="24.7265625" style="30" bestFit="1" customWidth="1"/>
    <col min="61" max="61" width="15.1796875" style="30" customWidth="1"/>
    <col min="62" max="62" width="9.7265625" style="30" customWidth="1"/>
    <col min="63" max="63" width="24.7265625" style="30" bestFit="1" customWidth="1"/>
    <col min="64" max="64" width="15.1796875" style="30" customWidth="1"/>
    <col min="65" max="65" width="9.7265625" style="30" customWidth="1"/>
    <col min="66" max="66" width="24.7265625" style="30" bestFit="1" customWidth="1"/>
    <col min="67" max="67" width="15.1796875" style="30" customWidth="1"/>
    <col min="68" max="68" width="9.7265625" style="30" customWidth="1"/>
    <col min="69" max="69" width="24.7265625" style="30" bestFit="1" customWidth="1"/>
    <col min="70" max="70" width="15.1796875" style="30" customWidth="1"/>
    <col min="71" max="71" width="9.7265625" style="30" customWidth="1"/>
    <col min="72" max="72" width="24.7265625" style="30" bestFit="1" customWidth="1"/>
    <col min="73" max="73" width="20.453125" style="30" customWidth="1"/>
    <col min="74" max="74" width="9.7265625" style="30" customWidth="1"/>
    <col min="75" max="75" width="29.81640625" style="30" bestFit="1" customWidth="1"/>
    <col min="76" max="76" width="17.26953125" style="30" customWidth="1"/>
    <col min="77" max="77" width="20.453125" style="30" bestFit="1" customWidth="1"/>
    <col min="78" max="78" width="9.7265625" style="30" bestFit="1" customWidth="1"/>
    <col min="79" max="79" width="29.81640625" style="30" bestFit="1" customWidth="1"/>
    <col min="80" max="80" width="9.81640625" style="30" bestFit="1" customWidth="1"/>
    <col min="81" max="81" width="17.7265625" style="30" bestFit="1" customWidth="1"/>
    <col min="82" max="83" width="17.26953125" style="30" bestFit="1" customWidth="1"/>
    <col min="84" max="16384" width="11.453125" style="30"/>
  </cols>
  <sheetData>
    <row r="1" spans="1:19" x14ac:dyDescent="0.35">
      <c r="A1" s="30">
        <v>1</v>
      </c>
      <c r="B1" s="30" t="str">
        <f>IF($A$1=1,"Exporte",IF($A$1=2,"Importe","Handelsbilanzsaldo"))</f>
        <v>Exporte</v>
      </c>
      <c r="C1" s="30">
        <v>3</v>
      </c>
      <c r="D1" s="30">
        <v>4</v>
      </c>
      <c r="E1" s="30">
        <v>5</v>
      </c>
      <c r="F1" s="30">
        <v>6</v>
      </c>
      <c r="G1" s="30">
        <v>7</v>
      </c>
      <c r="H1" s="30">
        <v>8</v>
      </c>
      <c r="I1" s="30">
        <v>9</v>
      </c>
      <c r="J1" s="30">
        <v>10</v>
      </c>
      <c r="K1" s="30">
        <v>11</v>
      </c>
      <c r="L1" s="30">
        <v>12</v>
      </c>
      <c r="M1" s="30">
        <v>13</v>
      </c>
      <c r="N1" s="30">
        <v>14</v>
      </c>
      <c r="O1" s="30">
        <v>15</v>
      </c>
      <c r="P1" s="30">
        <v>16</v>
      </c>
      <c r="Q1" s="30">
        <v>17</v>
      </c>
    </row>
    <row r="2" spans="1:19" x14ac:dyDescent="0.35">
      <c r="A2" s="30">
        <f>IF(AND(Auswahl_Jahr&lt;=Max_Jahr_Jahresdaten,Auswahl_Jahr&gt;=Min_Jahr_Jahresdaten),LOOKUP(Auswahl_Jahr,C2:XFD2,C1:XFD1),0)</f>
        <v>17</v>
      </c>
      <c r="B2" s="41" t="s">
        <v>37</v>
      </c>
      <c r="C2" s="30">
        <f>VALUE(LEFT(C4,4))</f>
        <v>2010</v>
      </c>
      <c r="D2" s="30">
        <f t="shared" ref="D2:F2" si="0">VALUE(LEFT(D4,4))</f>
        <v>2011</v>
      </c>
      <c r="E2" s="30">
        <f t="shared" si="0"/>
        <v>2012</v>
      </c>
      <c r="F2" s="30">
        <f t="shared" si="0"/>
        <v>2013</v>
      </c>
      <c r="G2" s="30">
        <f t="shared" ref="G2:H2" si="1">VALUE(LEFT(G4,4))</f>
        <v>2014</v>
      </c>
      <c r="H2" s="30">
        <f t="shared" si="1"/>
        <v>2015</v>
      </c>
      <c r="I2" s="30">
        <f t="shared" ref="I2:J2" si="2">VALUE(LEFT(I4,4))</f>
        <v>2016</v>
      </c>
      <c r="J2" s="30">
        <f t="shared" si="2"/>
        <v>2017</v>
      </c>
      <c r="K2" s="30">
        <f t="shared" ref="K2:L2" si="3">VALUE(LEFT(K4,4))</f>
        <v>2018</v>
      </c>
      <c r="L2" s="30">
        <f t="shared" si="3"/>
        <v>2019</v>
      </c>
      <c r="M2" s="30">
        <f t="shared" ref="M2:N2" si="4">VALUE(LEFT(M4,4))</f>
        <v>2020</v>
      </c>
      <c r="N2" s="30">
        <f t="shared" si="4"/>
        <v>2021</v>
      </c>
      <c r="O2" s="30">
        <f t="shared" ref="O2:P2" si="5">VALUE(LEFT(O4,4))</f>
        <v>2022</v>
      </c>
      <c r="P2" s="30">
        <f t="shared" si="5"/>
        <v>2023</v>
      </c>
      <c r="Q2" s="30">
        <f t="shared" ref="Q2" si="6">VALUE(LEFT(Q4,4))</f>
        <v>2024</v>
      </c>
    </row>
    <row r="3" spans="1:19" x14ac:dyDescent="0.35">
      <c r="C3" s="30" t="str">
        <f>RIGHT(C4,1)</f>
        <v>e</v>
      </c>
      <c r="D3" s="30" t="str">
        <f t="shared" ref="D3:Q3" si="7">RIGHT(D4,1)</f>
        <v>e</v>
      </c>
      <c r="E3" s="30" t="str">
        <f t="shared" si="7"/>
        <v>e</v>
      </c>
      <c r="F3" s="30" t="str">
        <f t="shared" si="7"/>
        <v>e</v>
      </c>
      <c r="G3" s="30" t="str">
        <f t="shared" si="7"/>
        <v>e</v>
      </c>
      <c r="H3" s="30" t="str">
        <f t="shared" si="7"/>
        <v>e</v>
      </c>
      <c r="I3" s="30" t="str">
        <f t="shared" si="7"/>
        <v>e</v>
      </c>
      <c r="J3" s="30" t="str">
        <f t="shared" si="7"/>
        <v>e</v>
      </c>
      <c r="K3" s="30" t="str">
        <f t="shared" si="7"/>
        <v>e</v>
      </c>
      <c r="L3" s="30" t="str">
        <f t="shared" si="7"/>
        <v>e</v>
      </c>
      <c r="M3" s="30" t="str">
        <f t="shared" si="7"/>
        <v>e</v>
      </c>
      <c r="N3" s="30" t="str">
        <f t="shared" si="7"/>
        <v>e</v>
      </c>
      <c r="O3" s="30" t="str">
        <f t="shared" si="7"/>
        <v>e</v>
      </c>
      <c r="P3" s="30" t="str">
        <f t="shared" si="7"/>
        <v>e</v>
      </c>
      <c r="Q3" s="30" t="str">
        <f t="shared" si="7"/>
        <v>e</v>
      </c>
    </row>
    <row r="4" spans="1:19" x14ac:dyDescent="0.35">
      <c r="A4" s="37" t="s">
        <v>32</v>
      </c>
      <c r="B4" s="37" t="s">
        <v>33</v>
      </c>
      <c r="C4" s="37" t="s">
        <v>40</v>
      </c>
      <c r="D4" s="37" t="s">
        <v>41</v>
      </c>
      <c r="E4" s="37" t="s">
        <v>42</v>
      </c>
      <c r="F4" s="37" t="s">
        <v>43</v>
      </c>
      <c r="G4" s="37" t="s">
        <v>55</v>
      </c>
      <c r="H4" s="37" t="s">
        <v>56</v>
      </c>
      <c r="I4" s="37" t="s">
        <v>57</v>
      </c>
      <c r="J4" s="37" t="s">
        <v>58</v>
      </c>
      <c r="K4" s="37" t="s">
        <v>59</v>
      </c>
      <c r="L4" s="37" t="s">
        <v>60</v>
      </c>
      <c r="M4" s="37" t="s">
        <v>61</v>
      </c>
      <c r="N4" s="37" t="s">
        <v>62</v>
      </c>
      <c r="O4" s="37" t="s">
        <v>63</v>
      </c>
      <c r="P4" s="37" t="s">
        <v>64</v>
      </c>
      <c r="Q4" s="37" t="s">
        <v>65</v>
      </c>
      <c r="R4"/>
      <c r="S4"/>
    </row>
    <row r="5" spans="1:19" x14ac:dyDescent="0.35">
      <c r="A5" s="67" t="s">
        <v>1</v>
      </c>
      <c r="B5" s="67" t="s">
        <v>34</v>
      </c>
      <c r="C5" s="68">
        <v>1533471936</v>
      </c>
      <c r="D5" s="68">
        <v>1671765246</v>
      </c>
      <c r="E5" s="68">
        <v>1780244245</v>
      </c>
      <c r="F5" s="68">
        <v>1963558761</v>
      </c>
      <c r="G5" s="68">
        <v>1995858354</v>
      </c>
      <c r="H5" s="68">
        <v>2085847230</v>
      </c>
      <c r="I5" s="68">
        <v>2025252853</v>
      </c>
      <c r="J5" s="68">
        <v>2204727991</v>
      </c>
      <c r="K5" s="68">
        <v>2317151525</v>
      </c>
      <c r="L5" s="68">
        <v>2342247003</v>
      </c>
      <c r="M5" s="68">
        <v>2183572248</v>
      </c>
      <c r="N5" s="68">
        <v>2508842351</v>
      </c>
      <c r="O5" s="68">
        <v>3029534171</v>
      </c>
      <c r="P5" s="68">
        <v>2852177050</v>
      </c>
      <c r="Q5" s="68">
        <v>2868885310</v>
      </c>
      <c r="R5"/>
      <c r="S5"/>
    </row>
    <row r="6" spans="1:19" x14ac:dyDescent="0.35">
      <c r="A6" s="67" t="s">
        <v>2</v>
      </c>
      <c r="B6" s="67" t="s">
        <v>34</v>
      </c>
      <c r="C6" s="68">
        <v>5700039482</v>
      </c>
      <c r="D6" s="68">
        <v>6417745494</v>
      </c>
      <c r="E6" s="68">
        <v>6307776278</v>
      </c>
      <c r="F6" s="68">
        <v>6383779371</v>
      </c>
      <c r="G6" s="68">
        <v>6722314333</v>
      </c>
      <c r="H6" s="68">
        <v>7137467063</v>
      </c>
      <c r="I6" s="68">
        <v>7015800520</v>
      </c>
      <c r="J6" s="68">
        <v>7546450882</v>
      </c>
      <c r="K6" s="68">
        <v>8092240142</v>
      </c>
      <c r="L6" s="68">
        <v>7423091634</v>
      </c>
      <c r="M6" s="68">
        <v>6814763444</v>
      </c>
      <c r="N6" s="68">
        <v>8066674732</v>
      </c>
      <c r="O6" s="68">
        <v>9415657626</v>
      </c>
      <c r="P6" s="68">
        <v>9510684459</v>
      </c>
      <c r="Q6" s="68">
        <v>9329924102</v>
      </c>
      <c r="R6"/>
      <c r="S6"/>
    </row>
    <row r="7" spans="1:19" x14ac:dyDescent="0.35">
      <c r="A7" s="67" t="s">
        <v>3</v>
      </c>
      <c r="B7" s="67" t="s">
        <v>34</v>
      </c>
      <c r="C7" s="68">
        <v>16674118755</v>
      </c>
      <c r="D7" s="68">
        <v>18608836140</v>
      </c>
      <c r="E7" s="68">
        <v>19665234462</v>
      </c>
      <c r="F7" s="68">
        <v>20817784194</v>
      </c>
      <c r="G7" s="68">
        <v>20348769132</v>
      </c>
      <c r="H7" s="68">
        <v>20446932206</v>
      </c>
      <c r="I7" s="68">
        <v>20048291000</v>
      </c>
      <c r="J7" s="68">
        <v>21824435480</v>
      </c>
      <c r="K7" s="68">
        <v>23103940171</v>
      </c>
      <c r="L7" s="68">
        <v>22519656342</v>
      </c>
      <c r="M7" s="68">
        <v>20829320894</v>
      </c>
      <c r="N7" s="68">
        <v>24744282171</v>
      </c>
      <c r="O7" s="68">
        <v>29657345570</v>
      </c>
      <c r="P7" s="68">
        <v>30268043547</v>
      </c>
      <c r="Q7" s="68">
        <v>28647835687</v>
      </c>
      <c r="R7"/>
      <c r="S7"/>
    </row>
    <row r="8" spans="1:19" x14ac:dyDescent="0.35">
      <c r="A8" s="67" t="s">
        <v>4</v>
      </c>
      <c r="B8" s="67" t="s">
        <v>34</v>
      </c>
      <c r="C8" s="68">
        <v>27650548813</v>
      </c>
      <c r="D8" s="68">
        <v>31592951019</v>
      </c>
      <c r="E8" s="68">
        <v>30791288230</v>
      </c>
      <c r="F8" s="68">
        <v>31214308703</v>
      </c>
      <c r="G8" s="68">
        <v>32045369829</v>
      </c>
      <c r="H8" s="68">
        <v>33460423931</v>
      </c>
      <c r="I8" s="68">
        <v>33781844981</v>
      </c>
      <c r="J8" s="68">
        <v>36519805936</v>
      </c>
      <c r="K8" s="68">
        <v>38023596629</v>
      </c>
      <c r="L8" s="68">
        <v>39989082966</v>
      </c>
      <c r="M8" s="68">
        <v>36719524890</v>
      </c>
      <c r="N8" s="68">
        <v>42792589450</v>
      </c>
      <c r="O8" s="68">
        <v>52335117740</v>
      </c>
      <c r="P8" s="68">
        <v>54254149734</v>
      </c>
      <c r="Q8" s="68">
        <v>48264511398</v>
      </c>
      <c r="R8"/>
      <c r="S8"/>
    </row>
    <row r="9" spans="1:19" x14ac:dyDescent="0.35">
      <c r="A9" s="67" t="s">
        <v>5</v>
      </c>
      <c r="B9" s="67" t="s">
        <v>34</v>
      </c>
      <c r="C9" s="68">
        <v>7595407589</v>
      </c>
      <c r="D9" s="68">
        <v>8590317765</v>
      </c>
      <c r="E9" s="68">
        <v>8311503989</v>
      </c>
      <c r="F9" s="68">
        <v>8415456459</v>
      </c>
      <c r="G9" s="68">
        <v>8480269212</v>
      </c>
      <c r="H9" s="68">
        <v>9143352125</v>
      </c>
      <c r="I9" s="68">
        <v>9237801918</v>
      </c>
      <c r="J9" s="68">
        <v>9913134978</v>
      </c>
      <c r="K9" s="68">
        <v>10873520836</v>
      </c>
      <c r="L9" s="68">
        <v>10737711156</v>
      </c>
      <c r="M9" s="68">
        <v>10401250931</v>
      </c>
      <c r="N9" s="68">
        <v>11494762439</v>
      </c>
      <c r="O9" s="68">
        <v>13540030101</v>
      </c>
      <c r="P9" s="68">
        <v>13979185207</v>
      </c>
      <c r="Q9" s="68">
        <v>13068970066</v>
      </c>
      <c r="R9"/>
      <c r="S9"/>
    </row>
    <row r="10" spans="1:19" x14ac:dyDescent="0.35">
      <c r="A10" s="67" t="s">
        <v>6</v>
      </c>
      <c r="B10" s="67" t="s">
        <v>34</v>
      </c>
      <c r="C10" s="68">
        <v>15359870402</v>
      </c>
      <c r="D10" s="68">
        <v>17794996199</v>
      </c>
      <c r="E10" s="68">
        <v>18918280803</v>
      </c>
      <c r="F10" s="68">
        <v>19062191492</v>
      </c>
      <c r="G10" s="68">
        <v>19402779111</v>
      </c>
      <c r="H10" s="68">
        <v>19715796022</v>
      </c>
      <c r="I10" s="68">
        <v>19305469105</v>
      </c>
      <c r="J10" s="68">
        <v>21726442874</v>
      </c>
      <c r="K10" s="68">
        <v>25443893097</v>
      </c>
      <c r="L10" s="68">
        <v>25953947211</v>
      </c>
      <c r="M10" s="68">
        <v>22386707923</v>
      </c>
      <c r="N10" s="68">
        <v>25683599275</v>
      </c>
      <c r="O10" s="68">
        <v>29082313135</v>
      </c>
      <c r="P10" s="68">
        <v>28876795151</v>
      </c>
      <c r="Q10" s="68">
        <v>28511366275</v>
      </c>
      <c r="R10"/>
      <c r="S10"/>
    </row>
    <row r="11" spans="1:19" x14ac:dyDescent="0.35">
      <c r="A11" s="67" t="s">
        <v>7</v>
      </c>
      <c r="B11" s="67" t="s">
        <v>34</v>
      </c>
      <c r="C11" s="68">
        <v>9925477807</v>
      </c>
      <c r="D11" s="68">
        <v>10994158152</v>
      </c>
      <c r="E11" s="68">
        <v>11083454759</v>
      </c>
      <c r="F11" s="68">
        <v>10924821010</v>
      </c>
      <c r="G11" s="68">
        <v>11247933002</v>
      </c>
      <c r="H11" s="68">
        <v>11451045669</v>
      </c>
      <c r="I11" s="68">
        <v>12326580361</v>
      </c>
      <c r="J11" s="68">
        <v>12491155946</v>
      </c>
      <c r="K11" s="68">
        <v>12650442985</v>
      </c>
      <c r="L11" s="68">
        <v>13182139412</v>
      </c>
      <c r="M11" s="68">
        <v>12994951232</v>
      </c>
      <c r="N11" s="68">
        <v>14665273186</v>
      </c>
      <c r="O11" s="68">
        <v>16600486409</v>
      </c>
      <c r="P11" s="68">
        <v>16436477328</v>
      </c>
      <c r="Q11" s="68">
        <v>16619121834</v>
      </c>
      <c r="R11"/>
      <c r="S11"/>
    </row>
    <row r="12" spans="1:19" x14ac:dyDescent="0.35">
      <c r="A12" s="67" t="s">
        <v>8</v>
      </c>
      <c r="B12" s="67" t="s">
        <v>34</v>
      </c>
      <c r="C12" s="68">
        <v>7513529718</v>
      </c>
      <c r="D12" s="68">
        <v>8213761191</v>
      </c>
      <c r="E12" s="68">
        <v>8347361811</v>
      </c>
      <c r="F12" s="68">
        <v>8388852833</v>
      </c>
      <c r="G12" s="68">
        <v>8867353821</v>
      </c>
      <c r="H12" s="68">
        <v>9455862981</v>
      </c>
      <c r="I12" s="68">
        <v>9537000572</v>
      </c>
      <c r="J12" s="68">
        <v>10216044941</v>
      </c>
      <c r="K12" s="68">
        <v>10497255353</v>
      </c>
      <c r="L12" s="68">
        <v>10690551797</v>
      </c>
      <c r="M12" s="68">
        <v>10417149476</v>
      </c>
      <c r="N12" s="68">
        <v>12601449274</v>
      </c>
      <c r="O12" s="68">
        <v>13644309579</v>
      </c>
      <c r="P12" s="68">
        <v>13310969931</v>
      </c>
      <c r="Q12" s="68">
        <v>13091852690</v>
      </c>
      <c r="R12"/>
      <c r="S12"/>
    </row>
    <row r="13" spans="1:19" x14ac:dyDescent="0.35">
      <c r="A13" s="67" t="s">
        <v>9</v>
      </c>
      <c r="B13" s="67" t="s">
        <v>34</v>
      </c>
      <c r="C13" s="68">
        <v>17420243981</v>
      </c>
      <c r="D13" s="68">
        <v>17889067733</v>
      </c>
      <c r="E13" s="68">
        <v>18338382727</v>
      </c>
      <c r="F13" s="68">
        <v>18640834908</v>
      </c>
      <c r="G13" s="68">
        <v>18995382718</v>
      </c>
      <c r="H13" s="68">
        <v>18641654238</v>
      </c>
      <c r="I13" s="68">
        <v>17847163416</v>
      </c>
      <c r="J13" s="68">
        <v>19497497038</v>
      </c>
      <c r="K13" s="68">
        <v>19068942849</v>
      </c>
      <c r="L13" s="68">
        <v>20663214255</v>
      </c>
      <c r="M13" s="68">
        <v>19819202919</v>
      </c>
      <c r="N13" s="68">
        <v>23028347277</v>
      </c>
      <c r="O13" s="68">
        <v>27374689933</v>
      </c>
      <c r="P13" s="68">
        <v>31266934359</v>
      </c>
      <c r="Q13" s="68">
        <v>30781458966</v>
      </c>
      <c r="R13"/>
      <c r="S13"/>
    </row>
    <row r="14" spans="1:19" x14ac:dyDescent="0.35">
      <c r="A14" s="67" t="s">
        <v>10</v>
      </c>
      <c r="B14" s="67" t="s">
        <v>34</v>
      </c>
      <c r="C14" s="68">
        <v>109372708483</v>
      </c>
      <c r="D14" s="68">
        <v>121773598939</v>
      </c>
      <c r="E14" s="68">
        <v>123543527304</v>
      </c>
      <c r="F14" s="68">
        <v>125811587731</v>
      </c>
      <c r="G14" s="68">
        <v>128106029512</v>
      </c>
      <c r="H14" s="68">
        <v>131538381465</v>
      </c>
      <c r="I14" s="68">
        <v>131125204726</v>
      </c>
      <c r="J14" s="68">
        <v>141939696066</v>
      </c>
      <c r="K14" s="68">
        <v>150070983587</v>
      </c>
      <c r="L14" s="68">
        <v>153501641776</v>
      </c>
      <c r="M14" s="68">
        <v>142566443957</v>
      </c>
      <c r="N14" s="68">
        <v>165585820155</v>
      </c>
      <c r="O14" s="68">
        <v>194679484264</v>
      </c>
      <c r="P14" s="68">
        <v>200755416766</v>
      </c>
      <c r="Q14" s="68">
        <v>191183926328</v>
      </c>
    </row>
    <row r="16" spans="1:19" x14ac:dyDescent="0.35">
      <c r="A16" s="37" t="s">
        <v>32</v>
      </c>
      <c r="B16" s="37" t="s">
        <v>33</v>
      </c>
      <c r="C16" s="37" t="s">
        <v>40</v>
      </c>
      <c r="D16" s="37" t="s">
        <v>41</v>
      </c>
      <c r="E16" s="37" t="s">
        <v>42</v>
      </c>
      <c r="F16" s="37" t="s">
        <v>43</v>
      </c>
      <c r="G16" s="37" t="s">
        <v>55</v>
      </c>
      <c r="H16" s="37" t="s">
        <v>56</v>
      </c>
      <c r="I16" s="37" t="s">
        <v>57</v>
      </c>
      <c r="J16" s="37" t="s">
        <v>58</v>
      </c>
      <c r="K16" s="37" t="s">
        <v>59</v>
      </c>
      <c r="L16" s="37" t="s">
        <v>60</v>
      </c>
      <c r="M16" s="37" t="s">
        <v>61</v>
      </c>
      <c r="N16" s="37" t="s">
        <v>62</v>
      </c>
      <c r="O16" s="37" t="s">
        <v>63</v>
      </c>
      <c r="P16" s="37" t="s">
        <v>64</v>
      </c>
      <c r="Q16" s="37" t="s">
        <v>65</v>
      </c>
    </row>
    <row r="17" spans="1:20" x14ac:dyDescent="0.35">
      <c r="A17" s="67" t="s">
        <v>1</v>
      </c>
      <c r="B17" s="67" t="s">
        <v>35</v>
      </c>
      <c r="C17" s="68">
        <v>1666119777</v>
      </c>
      <c r="D17" s="68">
        <v>1998402342</v>
      </c>
      <c r="E17" s="68">
        <v>2300381255</v>
      </c>
      <c r="F17" s="68">
        <v>2618658212</v>
      </c>
      <c r="G17" s="68">
        <v>2740920048</v>
      </c>
      <c r="H17" s="68">
        <v>2615012365</v>
      </c>
      <c r="I17" s="68">
        <v>2473280312</v>
      </c>
      <c r="J17" s="68">
        <v>2524580705</v>
      </c>
      <c r="K17" s="68">
        <v>2605557048</v>
      </c>
      <c r="L17" s="68">
        <v>2770467821</v>
      </c>
      <c r="M17" s="68">
        <v>2428372370</v>
      </c>
      <c r="N17" s="68">
        <v>3061667917</v>
      </c>
      <c r="O17" s="68">
        <v>3601781820</v>
      </c>
      <c r="P17" s="68">
        <v>3178918039</v>
      </c>
      <c r="Q17" s="68">
        <v>3345373312</v>
      </c>
      <c r="R17"/>
      <c r="S17"/>
    </row>
    <row r="18" spans="1:20" x14ac:dyDescent="0.35">
      <c r="A18" s="67" t="s">
        <v>2</v>
      </c>
      <c r="B18" s="67" t="s">
        <v>35</v>
      </c>
      <c r="C18" s="68">
        <v>4820291682</v>
      </c>
      <c r="D18" s="68">
        <v>5617313063</v>
      </c>
      <c r="E18" s="68">
        <v>5438617907</v>
      </c>
      <c r="F18" s="68">
        <v>5486536820</v>
      </c>
      <c r="G18" s="68">
        <v>5690036204</v>
      </c>
      <c r="H18" s="68">
        <v>5856454842</v>
      </c>
      <c r="I18" s="68">
        <v>6012509281</v>
      </c>
      <c r="J18" s="68">
        <v>6499956156</v>
      </c>
      <c r="K18" s="68">
        <v>7063482386</v>
      </c>
      <c r="L18" s="68">
        <v>6921920449</v>
      </c>
      <c r="M18" s="68">
        <v>6035612171</v>
      </c>
      <c r="N18" s="68">
        <v>7676347658</v>
      </c>
      <c r="O18" s="68">
        <v>9093751539</v>
      </c>
      <c r="P18" s="68">
        <v>8402948441</v>
      </c>
      <c r="Q18" s="68">
        <v>8035124256</v>
      </c>
      <c r="R18"/>
      <c r="S18"/>
    </row>
    <row r="19" spans="1:20" x14ac:dyDescent="0.35">
      <c r="A19" s="67" t="s">
        <v>3</v>
      </c>
      <c r="B19" s="67" t="s">
        <v>35</v>
      </c>
      <c r="C19" s="68">
        <v>19384033318</v>
      </c>
      <c r="D19" s="68">
        <v>23286059860</v>
      </c>
      <c r="E19" s="68">
        <v>24383124898</v>
      </c>
      <c r="F19" s="68">
        <v>25008385854</v>
      </c>
      <c r="G19" s="68">
        <v>23800658455</v>
      </c>
      <c r="H19" s="68">
        <v>23054898899</v>
      </c>
      <c r="I19" s="68">
        <v>22215086722</v>
      </c>
      <c r="J19" s="68">
        <v>24678794346</v>
      </c>
      <c r="K19" s="68">
        <v>26913021443</v>
      </c>
      <c r="L19" s="68">
        <v>27101919123</v>
      </c>
      <c r="M19" s="68">
        <v>23339629089</v>
      </c>
      <c r="N19" s="68">
        <v>29874310961</v>
      </c>
      <c r="O19" s="68">
        <v>37487811467</v>
      </c>
      <c r="P19" s="68">
        <v>34237973891</v>
      </c>
      <c r="Q19" s="68">
        <v>32784689882</v>
      </c>
      <c r="R19"/>
      <c r="S19"/>
    </row>
    <row r="20" spans="1:20" x14ac:dyDescent="0.35">
      <c r="A20" s="67" t="s">
        <v>4</v>
      </c>
      <c r="B20" s="67" t="s">
        <v>35</v>
      </c>
      <c r="C20" s="68">
        <v>21027977318</v>
      </c>
      <c r="D20" s="68">
        <v>24328756566</v>
      </c>
      <c r="E20" s="68">
        <v>23759594970</v>
      </c>
      <c r="F20" s="68">
        <v>23203307777</v>
      </c>
      <c r="G20" s="68">
        <v>23817911762</v>
      </c>
      <c r="H20" s="68">
        <v>24899947068</v>
      </c>
      <c r="I20" s="68">
        <v>25550031408</v>
      </c>
      <c r="J20" s="68">
        <v>27949052344</v>
      </c>
      <c r="K20" s="68">
        <v>28933354259</v>
      </c>
      <c r="L20" s="68">
        <v>29403507104</v>
      </c>
      <c r="M20" s="68">
        <v>28229095806</v>
      </c>
      <c r="N20" s="68">
        <v>34781084259</v>
      </c>
      <c r="O20" s="68">
        <v>41999766797</v>
      </c>
      <c r="P20" s="68">
        <v>38649922544</v>
      </c>
      <c r="Q20" s="68">
        <v>36546113273</v>
      </c>
      <c r="R20"/>
      <c r="S20"/>
    </row>
    <row r="21" spans="1:20" x14ac:dyDescent="0.35">
      <c r="A21" s="67" t="s">
        <v>5</v>
      </c>
      <c r="B21" s="67" t="s">
        <v>35</v>
      </c>
      <c r="C21" s="68">
        <v>9793063428</v>
      </c>
      <c r="D21" s="68">
        <v>11303480810</v>
      </c>
      <c r="E21" s="68">
        <v>11231405424</v>
      </c>
      <c r="F21" s="68">
        <v>10905927384</v>
      </c>
      <c r="G21" s="68">
        <v>11089414131</v>
      </c>
      <c r="H21" s="68">
        <v>11871513255</v>
      </c>
      <c r="I21" s="68">
        <v>12457091343</v>
      </c>
      <c r="J21" s="68">
        <v>12994951766</v>
      </c>
      <c r="K21" s="68">
        <v>13171077717</v>
      </c>
      <c r="L21" s="68">
        <v>13542967082</v>
      </c>
      <c r="M21" s="68">
        <v>12245453137</v>
      </c>
      <c r="N21" s="68">
        <v>14055802845</v>
      </c>
      <c r="O21" s="68">
        <v>16396803184</v>
      </c>
      <c r="P21" s="68">
        <v>17531341222</v>
      </c>
      <c r="Q21" s="68">
        <v>17000879128</v>
      </c>
      <c r="R21"/>
      <c r="S21"/>
    </row>
    <row r="22" spans="1:20" x14ac:dyDescent="0.35">
      <c r="A22" s="67" t="s">
        <v>6</v>
      </c>
      <c r="B22" s="67" t="s">
        <v>35</v>
      </c>
      <c r="C22" s="68">
        <v>11405076281</v>
      </c>
      <c r="D22" s="68">
        <v>14204527037</v>
      </c>
      <c r="E22" s="68">
        <v>13878234227</v>
      </c>
      <c r="F22" s="68">
        <v>13610653685</v>
      </c>
      <c r="G22" s="68">
        <v>13475201804</v>
      </c>
      <c r="H22" s="68">
        <v>13765169139</v>
      </c>
      <c r="I22" s="68">
        <v>14412690157</v>
      </c>
      <c r="J22" s="68">
        <v>17040020149</v>
      </c>
      <c r="K22" s="68">
        <v>19291206084</v>
      </c>
      <c r="L22" s="68">
        <v>19598872775</v>
      </c>
      <c r="M22" s="68">
        <v>17051024301</v>
      </c>
      <c r="N22" s="68">
        <v>20083935395</v>
      </c>
      <c r="O22" s="68">
        <v>23070250204</v>
      </c>
      <c r="P22" s="68">
        <v>21753193950</v>
      </c>
      <c r="Q22" s="68">
        <v>20543758947</v>
      </c>
      <c r="R22"/>
      <c r="S22"/>
    </row>
    <row r="23" spans="1:20" x14ac:dyDescent="0.35">
      <c r="A23" s="67" t="s">
        <v>7</v>
      </c>
      <c r="B23" s="67" t="s">
        <v>35</v>
      </c>
      <c r="C23" s="68">
        <v>8638333709</v>
      </c>
      <c r="D23" s="68">
        <v>9487092969</v>
      </c>
      <c r="E23" s="68">
        <v>9800712536</v>
      </c>
      <c r="F23" s="68">
        <v>9646362254</v>
      </c>
      <c r="G23" s="68">
        <v>10089856919</v>
      </c>
      <c r="H23" s="68">
        <v>10610711024</v>
      </c>
      <c r="I23" s="68">
        <v>11340114900</v>
      </c>
      <c r="J23" s="68">
        <v>12083873206</v>
      </c>
      <c r="K23" s="68">
        <v>11946359567</v>
      </c>
      <c r="L23" s="68">
        <v>12111342131</v>
      </c>
      <c r="M23" s="68">
        <v>12032891347</v>
      </c>
      <c r="N23" s="68">
        <v>14316036766</v>
      </c>
      <c r="O23" s="68">
        <v>16179133685</v>
      </c>
      <c r="P23" s="68">
        <v>16215932092</v>
      </c>
      <c r="Q23" s="68">
        <v>14409755389</v>
      </c>
      <c r="R23"/>
      <c r="S23"/>
    </row>
    <row r="24" spans="1:20" x14ac:dyDescent="0.35">
      <c r="A24" s="67" t="s">
        <v>8</v>
      </c>
      <c r="B24" s="67" t="s">
        <v>35</v>
      </c>
      <c r="C24" s="68">
        <v>5329164621</v>
      </c>
      <c r="D24" s="68">
        <v>5994759393</v>
      </c>
      <c r="E24" s="68">
        <v>6085591697</v>
      </c>
      <c r="F24" s="68">
        <v>6199704154</v>
      </c>
      <c r="G24" s="68">
        <v>6699081317</v>
      </c>
      <c r="H24" s="68">
        <v>7077731364</v>
      </c>
      <c r="I24" s="68">
        <v>7165743369</v>
      </c>
      <c r="J24" s="68">
        <v>7446984817</v>
      </c>
      <c r="K24" s="68">
        <v>8007734676</v>
      </c>
      <c r="L24" s="68">
        <v>7929927092</v>
      </c>
      <c r="M24" s="68">
        <v>7627374143</v>
      </c>
      <c r="N24" s="68">
        <v>9177628023</v>
      </c>
      <c r="O24" s="68">
        <v>10737607645</v>
      </c>
      <c r="P24" s="68">
        <v>9586023906</v>
      </c>
      <c r="Q24" s="68">
        <v>9154102802</v>
      </c>
      <c r="R24"/>
      <c r="S24"/>
    </row>
    <row r="25" spans="1:20" x14ac:dyDescent="0.35">
      <c r="A25" s="67" t="s">
        <v>9</v>
      </c>
      <c r="B25" s="67" t="s">
        <v>35</v>
      </c>
      <c r="C25" s="68">
        <v>31588062459</v>
      </c>
      <c r="D25" s="68">
        <v>34787158788</v>
      </c>
      <c r="E25" s="68">
        <v>35104373635</v>
      </c>
      <c r="F25" s="68">
        <v>34027139476</v>
      </c>
      <c r="G25" s="68">
        <v>32444167426</v>
      </c>
      <c r="H25" s="68">
        <v>33777858878</v>
      </c>
      <c r="I25" s="68">
        <v>34040580424</v>
      </c>
      <c r="J25" s="68">
        <v>36324014758</v>
      </c>
      <c r="K25" s="68">
        <v>38124314703</v>
      </c>
      <c r="L25" s="68">
        <v>38436295082</v>
      </c>
      <c r="M25" s="68">
        <v>35431764479</v>
      </c>
      <c r="N25" s="68">
        <v>45419476272</v>
      </c>
      <c r="O25" s="68">
        <v>56705977722</v>
      </c>
      <c r="P25" s="68">
        <v>53221229731</v>
      </c>
      <c r="Q25" s="68">
        <v>47169951485</v>
      </c>
      <c r="R25"/>
      <c r="S25"/>
    </row>
    <row r="26" spans="1:20" x14ac:dyDescent="0.35">
      <c r="A26" s="67" t="s">
        <v>10</v>
      </c>
      <c r="B26" s="67" t="s">
        <v>35</v>
      </c>
      <c r="C26" s="68">
        <v>113652122593</v>
      </c>
      <c r="D26" s="68">
        <v>131007550828</v>
      </c>
      <c r="E26" s="68">
        <v>131982036549</v>
      </c>
      <c r="F26" s="68">
        <v>130706675616</v>
      </c>
      <c r="G26" s="68">
        <v>129847248066</v>
      </c>
      <c r="H26" s="68">
        <v>133529296834</v>
      </c>
      <c r="I26" s="68">
        <v>135667127916</v>
      </c>
      <c r="J26" s="68">
        <v>147542228247</v>
      </c>
      <c r="K26" s="68">
        <v>156056107883</v>
      </c>
      <c r="L26" s="68">
        <v>157817218659</v>
      </c>
      <c r="M26" s="68">
        <v>144421216843</v>
      </c>
      <c r="N26" s="68">
        <v>178446290096</v>
      </c>
      <c r="O26" s="68">
        <v>215272884063</v>
      </c>
      <c r="P26" s="68">
        <v>202777483816</v>
      </c>
      <c r="Q26" s="68">
        <v>188989748474</v>
      </c>
      <c r="R26"/>
      <c r="S26"/>
    </row>
    <row r="27" spans="1:20" x14ac:dyDescent="0.35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5">
      <c r="A28" s="37" t="s">
        <v>32</v>
      </c>
      <c r="B28" s="37" t="s">
        <v>33</v>
      </c>
      <c r="C28" s="37">
        <v>2010</v>
      </c>
      <c r="D28" s="37">
        <v>2011</v>
      </c>
      <c r="E28" s="37">
        <v>2012</v>
      </c>
      <c r="F28" s="37">
        <v>2013</v>
      </c>
      <c r="G28" s="37">
        <v>2014</v>
      </c>
      <c r="H28" s="37">
        <v>2015</v>
      </c>
      <c r="I28" s="37">
        <v>2016</v>
      </c>
      <c r="J28" s="37">
        <v>2017</v>
      </c>
      <c r="K28" s="37">
        <v>2018</v>
      </c>
      <c r="L28" s="37">
        <v>2019</v>
      </c>
      <c r="M28" s="37">
        <v>2020</v>
      </c>
      <c r="N28" s="37">
        <v>2021</v>
      </c>
      <c r="O28" s="37">
        <v>2022</v>
      </c>
      <c r="P28" s="37">
        <v>2023</v>
      </c>
      <c r="Q28" s="37">
        <v>2024</v>
      </c>
    </row>
    <row r="29" spans="1:20" x14ac:dyDescent="0.35">
      <c r="A29" s="38" t="s">
        <v>1</v>
      </c>
      <c r="B29" s="40" t="s">
        <v>36</v>
      </c>
      <c r="C29" s="39">
        <f>C5-C17</f>
        <v>-132647841</v>
      </c>
      <c r="D29" s="39">
        <f t="shared" ref="D29:F29" si="8">D5-D17</f>
        <v>-326637096</v>
      </c>
      <c r="E29" s="39">
        <f t="shared" si="8"/>
        <v>-520137010</v>
      </c>
      <c r="F29" s="39">
        <f t="shared" si="8"/>
        <v>-655099451</v>
      </c>
      <c r="G29" s="39">
        <f t="shared" ref="G29:H29" si="9">G5-G17</f>
        <v>-745061694</v>
      </c>
      <c r="H29" s="39">
        <f t="shared" si="9"/>
        <v>-529165135</v>
      </c>
      <c r="I29" s="39">
        <f>I5-I17</f>
        <v>-448027459</v>
      </c>
      <c r="J29" s="39">
        <f t="shared" ref="J29" si="10">J5-J17</f>
        <v>-319852714</v>
      </c>
      <c r="K29" s="39">
        <f t="shared" ref="K29:P29" si="11">K5-K17</f>
        <v>-288405523</v>
      </c>
      <c r="L29" s="39">
        <f t="shared" si="11"/>
        <v>-428220818</v>
      </c>
      <c r="M29" s="39">
        <f t="shared" si="11"/>
        <v>-244800122</v>
      </c>
      <c r="N29" s="39">
        <f t="shared" si="11"/>
        <v>-552825566</v>
      </c>
      <c r="O29" s="39">
        <f t="shared" si="11"/>
        <v>-572247649</v>
      </c>
      <c r="P29" s="39">
        <f t="shared" si="11"/>
        <v>-326740989</v>
      </c>
      <c r="Q29" s="39">
        <f t="shared" ref="Q29" si="12">Q5-Q17</f>
        <v>-476488002</v>
      </c>
      <c r="R29"/>
      <c r="S29"/>
    </row>
    <row r="30" spans="1:20" x14ac:dyDescent="0.35">
      <c r="A30" s="38" t="s">
        <v>2</v>
      </c>
      <c r="B30" s="40" t="s">
        <v>36</v>
      </c>
      <c r="C30" s="39">
        <f t="shared" ref="C30:F38" si="13">C6-C18</f>
        <v>879747800</v>
      </c>
      <c r="D30" s="39">
        <f t="shared" si="13"/>
        <v>800432431</v>
      </c>
      <c r="E30" s="39">
        <f t="shared" si="13"/>
        <v>869158371</v>
      </c>
      <c r="F30" s="39">
        <f t="shared" si="13"/>
        <v>897242551</v>
      </c>
      <c r="G30" s="39">
        <f t="shared" ref="G30:H30" si="14">G6-G18</f>
        <v>1032278129</v>
      </c>
      <c r="H30" s="39">
        <f t="shared" si="14"/>
        <v>1281012221</v>
      </c>
      <c r="I30" s="39">
        <f t="shared" ref="I30:J30" si="15">I6-I18</f>
        <v>1003291239</v>
      </c>
      <c r="J30" s="39">
        <f t="shared" si="15"/>
        <v>1046494726</v>
      </c>
      <c r="K30" s="39">
        <f t="shared" ref="K30:L30" si="16">K6-K18</f>
        <v>1028757756</v>
      </c>
      <c r="L30" s="39">
        <f t="shared" si="16"/>
        <v>501171185</v>
      </c>
      <c r="M30" s="39">
        <f t="shared" ref="M30:N30" si="17">M6-M18</f>
        <v>779151273</v>
      </c>
      <c r="N30" s="39">
        <f t="shared" si="17"/>
        <v>390327074</v>
      </c>
      <c r="O30" s="39">
        <f t="shared" ref="O30:P30" si="18">O6-O18</f>
        <v>321906087</v>
      </c>
      <c r="P30" s="39">
        <f t="shared" si="18"/>
        <v>1107736018</v>
      </c>
      <c r="Q30" s="39">
        <f t="shared" ref="Q30" si="19">Q6-Q18</f>
        <v>1294799846</v>
      </c>
      <c r="R30"/>
      <c r="S30"/>
    </row>
    <row r="31" spans="1:20" x14ac:dyDescent="0.35">
      <c r="A31" s="38" t="s">
        <v>3</v>
      </c>
      <c r="B31" s="40" t="s">
        <v>36</v>
      </c>
      <c r="C31" s="39">
        <f t="shared" si="13"/>
        <v>-2709914563</v>
      </c>
      <c r="D31" s="39">
        <f t="shared" si="13"/>
        <v>-4677223720</v>
      </c>
      <c r="E31" s="39">
        <f t="shared" si="13"/>
        <v>-4717890436</v>
      </c>
      <c r="F31" s="39">
        <f t="shared" si="13"/>
        <v>-4190601660</v>
      </c>
      <c r="G31" s="39">
        <f t="shared" ref="G31:H31" si="20">G7-G19</f>
        <v>-3451889323</v>
      </c>
      <c r="H31" s="39">
        <f t="shared" si="20"/>
        <v>-2607966693</v>
      </c>
      <c r="I31" s="39">
        <f t="shared" ref="I31:J31" si="21">I7-I19</f>
        <v>-2166795722</v>
      </c>
      <c r="J31" s="39">
        <f t="shared" si="21"/>
        <v>-2854358866</v>
      </c>
      <c r="K31" s="39">
        <f t="shared" ref="K31:L31" si="22">K7-K19</f>
        <v>-3809081272</v>
      </c>
      <c r="L31" s="39">
        <f t="shared" si="22"/>
        <v>-4582262781</v>
      </c>
      <c r="M31" s="39">
        <f t="shared" ref="M31:N31" si="23">M7-M19</f>
        <v>-2510308195</v>
      </c>
      <c r="N31" s="39">
        <f t="shared" si="23"/>
        <v>-5130028790</v>
      </c>
      <c r="O31" s="39">
        <f t="shared" ref="O31:P31" si="24">O7-O19</f>
        <v>-7830465897</v>
      </c>
      <c r="P31" s="39">
        <f t="shared" si="24"/>
        <v>-3969930344</v>
      </c>
      <c r="Q31" s="39">
        <f t="shared" ref="Q31" si="25">Q7-Q19</f>
        <v>-4136854195</v>
      </c>
      <c r="R31"/>
      <c r="S31"/>
    </row>
    <row r="32" spans="1:20" x14ac:dyDescent="0.35">
      <c r="A32" s="38" t="s">
        <v>4</v>
      </c>
      <c r="B32" s="40" t="s">
        <v>36</v>
      </c>
      <c r="C32" s="39">
        <f t="shared" si="13"/>
        <v>6622571495</v>
      </c>
      <c r="D32" s="39">
        <f t="shared" si="13"/>
        <v>7264194453</v>
      </c>
      <c r="E32" s="39">
        <f t="shared" si="13"/>
        <v>7031693260</v>
      </c>
      <c r="F32" s="39">
        <f t="shared" si="13"/>
        <v>8011000926</v>
      </c>
      <c r="G32" s="39">
        <f t="shared" ref="G32:H32" si="26">G8-G20</f>
        <v>8227458067</v>
      </c>
      <c r="H32" s="39">
        <f t="shared" si="26"/>
        <v>8560476863</v>
      </c>
      <c r="I32" s="39">
        <f t="shared" ref="I32:J32" si="27">I8-I20</f>
        <v>8231813573</v>
      </c>
      <c r="J32" s="39">
        <f t="shared" si="27"/>
        <v>8570753592</v>
      </c>
      <c r="K32" s="39">
        <f t="shared" ref="K32:L32" si="28">K8-K20</f>
        <v>9090242370</v>
      </c>
      <c r="L32" s="39">
        <f t="shared" si="28"/>
        <v>10585575862</v>
      </c>
      <c r="M32" s="39">
        <f t="shared" ref="M32:N32" si="29">M8-M20</f>
        <v>8490429084</v>
      </c>
      <c r="N32" s="39">
        <f t="shared" si="29"/>
        <v>8011505191</v>
      </c>
      <c r="O32" s="39">
        <f t="shared" ref="O32:P32" si="30">O8-O20</f>
        <v>10335350943</v>
      </c>
      <c r="P32" s="39">
        <f t="shared" si="30"/>
        <v>15604227190</v>
      </c>
      <c r="Q32" s="39">
        <f t="shared" ref="Q32" si="31">Q8-Q20</f>
        <v>11718398125</v>
      </c>
      <c r="R32"/>
      <c r="S32"/>
    </row>
    <row r="33" spans="1:19" x14ac:dyDescent="0.35">
      <c r="A33" s="38" t="s">
        <v>5</v>
      </c>
      <c r="B33" s="40" t="s">
        <v>36</v>
      </c>
      <c r="C33" s="39">
        <f t="shared" si="13"/>
        <v>-2197655839</v>
      </c>
      <c r="D33" s="39">
        <f t="shared" si="13"/>
        <v>-2713163045</v>
      </c>
      <c r="E33" s="39">
        <f t="shared" si="13"/>
        <v>-2919901435</v>
      </c>
      <c r="F33" s="39">
        <f t="shared" si="13"/>
        <v>-2490470925</v>
      </c>
      <c r="G33" s="39">
        <f t="shared" ref="G33:H33" si="32">G9-G21</f>
        <v>-2609144919</v>
      </c>
      <c r="H33" s="39">
        <f t="shared" si="32"/>
        <v>-2728161130</v>
      </c>
      <c r="I33" s="39">
        <f t="shared" ref="I33:J33" si="33">I9-I21</f>
        <v>-3219289425</v>
      </c>
      <c r="J33" s="39">
        <f t="shared" si="33"/>
        <v>-3081816788</v>
      </c>
      <c r="K33" s="39">
        <f t="shared" ref="K33:L33" si="34">K9-K21</f>
        <v>-2297556881</v>
      </c>
      <c r="L33" s="39">
        <f t="shared" si="34"/>
        <v>-2805255926</v>
      </c>
      <c r="M33" s="39">
        <f t="shared" ref="M33:N33" si="35">M9-M21</f>
        <v>-1844202206</v>
      </c>
      <c r="N33" s="39">
        <f t="shared" si="35"/>
        <v>-2561040406</v>
      </c>
      <c r="O33" s="39">
        <f t="shared" ref="O33:P33" si="36">O9-O21</f>
        <v>-2856773083</v>
      </c>
      <c r="P33" s="39">
        <f t="shared" si="36"/>
        <v>-3552156015</v>
      </c>
      <c r="Q33" s="39">
        <f t="shared" ref="Q33" si="37">Q9-Q21</f>
        <v>-3931909062</v>
      </c>
      <c r="R33"/>
      <c r="S33"/>
    </row>
    <row r="34" spans="1:19" x14ac:dyDescent="0.35">
      <c r="A34" s="38" t="s">
        <v>6</v>
      </c>
      <c r="B34" s="40" t="s">
        <v>36</v>
      </c>
      <c r="C34" s="39">
        <f t="shared" si="13"/>
        <v>3954794121</v>
      </c>
      <c r="D34" s="39">
        <f t="shared" si="13"/>
        <v>3590469162</v>
      </c>
      <c r="E34" s="39">
        <f t="shared" si="13"/>
        <v>5040046576</v>
      </c>
      <c r="F34" s="39">
        <f t="shared" si="13"/>
        <v>5451537807</v>
      </c>
      <c r="G34" s="39">
        <f t="shared" ref="G34:H34" si="38">G10-G22</f>
        <v>5927577307</v>
      </c>
      <c r="H34" s="39">
        <f t="shared" si="38"/>
        <v>5950626883</v>
      </c>
      <c r="I34" s="39">
        <f t="shared" ref="I34:J34" si="39">I10-I22</f>
        <v>4892778948</v>
      </c>
      <c r="J34" s="39">
        <f t="shared" si="39"/>
        <v>4686422725</v>
      </c>
      <c r="K34" s="39">
        <f t="shared" ref="K34:L34" si="40">K10-K22</f>
        <v>6152687013</v>
      </c>
      <c r="L34" s="39">
        <f t="shared" si="40"/>
        <v>6355074436</v>
      </c>
      <c r="M34" s="39">
        <f t="shared" ref="M34:N34" si="41">M10-M22</f>
        <v>5335683622</v>
      </c>
      <c r="N34" s="39">
        <f t="shared" si="41"/>
        <v>5599663880</v>
      </c>
      <c r="O34" s="39">
        <f t="shared" ref="O34:P34" si="42">O10-O22</f>
        <v>6012062931</v>
      </c>
      <c r="P34" s="39">
        <f t="shared" si="42"/>
        <v>7123601201</v>
      </c>
      <c r="Q34" s="39">
        <f t="shared" ref="Q34" si="43">Q10-Q22</f>
        <v>7967607328</v>
      </c>
      <c r="R34"/>
      <c r="S34"/>
    </row>
    <row r="35" spans="1:19" x14ac:dyDescent="0.35">
      <c r="A35" s="38" t="s">
        <v>7</v>
      </c>
      <c r="B35" s="40" t="s">
        <v>36</v>
      </c>
      <c r="C35" s="39">
        <f t="shared" si="13"/>
        <v>1287144098</v>
      </c>
      <c r="D35" s="39">
        <f t="shared" si="13"/>
        <v>1507065183</v>
      </c>
      <c r="E35" s="39">
        <f t="shared" si="13"/>
        <v>1282742223</v>
      </c>
      <c r="F35" s="39">
        <f t="shared" si="13"/>
        <v>1278458756</v>
      </c>
      <c r="G35" s="39">
        <f t="shared" ref="G35:H35" si="44">G11-G23</f>
        <v>1158076083</v>
      </c>
      <c r="H35" s="39">
        <f t="shared" si="44"/>
        <v>840334645</v>
      </c>
      <c r="I35" s="39">
        <f t="shared" ref="I35:J35" si="45">I11-I23</f>
        <v>986465461</v>
      </c>
      <c r="J35" s="39">
        <f t="shared" si="45"/>
        <v>407282740</v>
      </c>
      <c r="K35" s="39">
        <f t="shared" ref="K35:L35" si="46">K11-K23</f>
        <v>704083418</v>
      </c>
      <c r="L35" s="39">
        <f t="shared" si="46"/>
        <v>1070797281</v>
      </c>
      <c r="M35" s="39">
        <f t="shared" ref="M35:N35" si="47">M11-M23</f>
        <v>962059885</v>
      </c>
      <c r="N35" s="39">
        <f t="shared" si="47"/>
        <v>349236420</v>
      </c>
      <c r="O35" s="39">
        <f t="shared" ref="O35:P35" si="48">O11-O23</f>
        <v>421352724</v>
      </c>
      <c r="P35" s="39">
        <f t="shared" si="48"/>
        <v>220545236</v>
      </c>
      <c r="Q35" s="39">
        <f t="shared" ref="Q35" si="49">Q11-Q23</f>
        <v>2209366445</v>
      </c>
      <c r="R35"/>
      <c r="S35"/>
    </row>
    <row r="36" spans="1:19" x14ac:dyDescent="0.35">
      <c r="A36" s="38" t="s">
        <v>8</v>
      </c>
      <c r="B36" s="40" t="s">
        <v>36</v>
      </c>
      <c r="C36" s="39">
        <f t="shared" si="13"/>
        <v>2184365097</v>
      </c>
      <c r="D36" s="39">
        <f t="shared" si="13"/>
        <v>2219001798</v>
      </c>
      <c r="E36" s="39">
        <f t="shared" si="13"/>
        <v>2261770114</v>
      </c>
      <c r="F36" s="39">
        <f t="shared" si="13"/>
        <v>2189148679</v>
      </c>
      <c r="G36" s="39">
        <f t="shared" ref="G36:H36" si="50">G12-G24</f>
        <v>2168272504</v>
      </c>
      <c r="H36" s="39">
        <f t="shared" si="50"/>
        <v>2378131617</v>
      </c>
      <c r="I36" s="39">
        <f t="shared" ref="I36:J36" si="51">I12-I24</f>
        <v>2371257203</v>
      </c>
      <c r="J36" s="39">
        <f t="shared" si="51"/>
        <v>2769060124</v>
      </c>
      <c r="K36" s="39">
        <f t="shared" ref="K36:L36" si="52">K12-K24</f>
        <v>2489520677</v>
      </c>
      <c r="L36" s="39">
        <f t="shared" si="52"/>
        <v>2760624705</v>
      </c>
      <c r="M36" s="39">
        <f t="shared" ref="M36:N36" si="53">M12-M24</f>
        <v>2789775333</v>
      </c>
      <c r="N36" s="39">
        <f t="shared" si="53"/>
        <v>3423821251</v>
      </c>
      <c r="O36" s="39">
        <f t="shared" ref="O36:P36" si="54">O12-O24</f>
        <v>2906701934</v>
      </c>
      <c r="P36" s="39">
        <f t="shared" si="54"/>
        <v>3724946025</v>
      </c>
      <c r="Q36" s="39">
        <f t="shared" ref="Q36" si="55">Q12-Q24</f>
        <v>3937749888</v>
      </c>
      <c r="R36"/>
      <c r="S36"/>
    </row>
    <row r="37" spans="1:19" x14ac:dyDescent="0.35">
      <c r="A37" s="38" t="s">
        <v>9</v>
      </c>
      <c r="B37" s="40" t="s">
        <v>36</v>
      </c>
      <c r="C37" s="39">
        <f t="shared" si="13"/>
        <v>-14167818478</v>
      </c>
      <c r="D37" s="39">
        <f t="shared" si="13"/>
        <v>-16898091055</v>
      </c>
      <c r="E37" s="39">
        <f t="shared" si="13"/>
        <v>-16765990908</v>
      </c>
      <c r="F37" s="39">
        <f t="shared" si="13"/>
        <v>-15386304568</v>
      </c>
      <c r="G37" s="39">
        <f t="shared" ref="G37:H37" si="56">G13-G25</f>
        <v>-13448784708</v>
      </c>
      <c r="H37" s="39">
        <f t="shared" si="56"/>
        <v>-15136204640</v>
      </c>
      <c r="I37" s="39">
        <f t="shared" ref="I37:J37" si="57">I13-I25</f>
        <v>-16193417008</v>
      </c>
      <c r="J37" s="39">
        <f t="shared" si="57"/>
        <v>-16826517720</v>
      </c>
      <c r="K37" s="39">
        <f t="shared" ref="K37:L37" si="58">K13-K25</f>
        <v>-19055371854</v>
      </c>
      <c r="L37" s="39">
        <f t="shared" si="58"/>
        <v>-17773080827</v>
      </c>
      <c r="M37" s="39">
        <f t="shared" ref="M37:N37" si="59">M13-M25</f>
        <v>-15612561560</v>
      </c>
      <c r="N37" s="39">
        <f t="shared" si="59"/>
        <v>-22391128995</v>
      </c>
      <c r="O37" s="39">
        <f t="shared" ref="O37:P37" si="60">O13-O25</f>
        <v>-29331287789</v>
      </c>
      <c r="P37" s="39">
        <f t="shared" si="60"/>
        <v>-21954295372</v>
      </c>
      <c r="Q37" s="39">
        <f t="shared" ref="Q37" si="61">Q13-Q25</f>
        <v>-16388492519</v>
      </c>
      <c r="R37"/>
      <c r="S37"/>
    </row>
    <row r="38" spans="1:19" x14ac:dyDescent="0.35">
      <c r="A38" s="38" t="s">
        <v>10</v>
      </c>
      <c r="B38" s="40" t="s">
        <v>36</v>
      </c>
      <c r="C38" s="39">
        <f t="shared" si="13"/>
        <v>-4279414110</v>
      </c>
      <c r="D38" s="39">
        <f t="shared" si="13"/>
        <v>-9233951889</v>
      </c>
      <c r="E38" s="39">
        <f t="shared" si="13"/>
        <v>-8438509245</v>
      </c>
      <c r="F38" s="39">
        <f t="shared" si="13"/>
        <v>-4895087885</v>
      </c>
      <c r="G38" s="39">
        <f t="shared" ref="G38:H38" si="62">G14-G26</f>
        <v>-1741218554</v>
      </c>
      <c r="H38" s="39">
        <f t="shared" si="62"/>
        <v>-1990915369</v>
      </c>
      <c r="I38" s="39">
        <f t="shared" ref="I38:J38" si="63">I14-I26</f>
        <v>-4541923190</v>
      </c>
      <c r="J38" s="39">
        <f t="shared" si="63"/>
        <v>-5602532181</v>
      </c>
      <c r="K38" s="39">
        <f t="shared" ref="K38:L38" si="64">K14-K26</f>
        <v>-5985124296</v>
      </c>
      <c r="L38" s="39">
        <f t="shared" si="64"/>
        <v>-4315576883</v>
      </c>
      <c r="M38" s="39">
        <f t="shared" ref="M38:N38" si="65">M14-M26</f>
        <v>-1854772886</v>
      </c>
      <c r="N38" s="39">
        <f t="shared" si="65"/>
        <v>-12860469941</v>
      </c>
      <c r="O38" s="39">
        <f t="shared" ref="O38:P38" si="66">O14-O26</f>
        <v>-20593399799</v>
      </c>
      <c r="P38" s="39">
        <f t="shared" si="66"/>
        <v>-2022067050</v>
      </c>
      <c r="Q38" s="39">
        <f t="shared" ref="Q38" si="67">Q14-Q26</f>
        <v>2194177854</v>
      </c>
      <c r="R38"/>
      <c r="S38"/>
    </row>
    <row r="40" spans="1:19" x14ac:dyDescent="0.35">
      <c r="A40" s="41" t="s">
        <v>44</v>
      </c>
      <c r="B40" s="30">
        <f>MAX(C2:XFD2)</f>
        <v>2024</v>
      </c>
    </row>
    <row r="41" spans="1:19" x14ac:dyDescent="0.35">
      <c r="A41" s="41" t="s">
        <v>45</v>
      </c>
      <c r="B41" s="30">
        <f>MIN(C2:XFD2)</f>
        <v>2010</v>
      </c>
    </row>
    <row r="42" spans="1:19" x14ac:dyDescent="0.35">
      <c r="A42" s="30" t="str">
        <f>IF(Spaltenindex_Jahresdaten=0,0,LOOKUP(Spaltenindex_Jahresdaten,C1:XFD1,C3:XFD3))</f>
        <v>e</v>
      </c>
      <c r="B42" s="41" t="s">
        <v>24</v>
      </c>
    </row>
    <row r="43" spans="1:19" x14ac:dyDescent="0.35">
      <c r="A43" s="30" t="str">
        <f>IF(Status_Jahresdaten="e","endgültige Daten",IF(Status_Jahresdaten="v","vorläufige Daten","keine Daten verfügbar"))</f>
        <v>endgültige Daten</v>
      </c>
      <c r="B43" s="41" t="s">
        <v>46</v>
      </c>
    </row>
    <row r="44" spans="1:19" x14ac:dyDescent="0.35">
      <c r="A44" s="41"/>
    </row>
    <row r="45" spans="1:19" x14ac:dyDescent="0.35">
      <c r="A45"/>
      <c r="B45">
        <f>Auswahl_Jahr</f>
        <v>2024</v>
      </c>
      <c r="C45">
        <f>Auswahl_Jahr-1</f>
        <v>2023</v>
      </c>
      <c r="D45" t="s">
        <v>11</v>
      </c>
      <c r="E45" t="s">
        <v>13</v>
      </c>
      <c r="F45" t="s">
        <v>12</v>
      </c>
      <c r="G45" s="30" t="s">
        <v>26</v>
      </c>
      <c r="H45" s="30" t="s">
        <v>27</v>
      </c>
      <c r="K45" s="30" t="str">
        <f>"Verae_absolut_"&amp;Auswahl_Bundesland</f>
        <v>Verae_absolut_Burgenland</v>
      </c>
      <c r="L45" s="30" t="str">
        <f>"Verae_Proz_"&amp;Auswahl_Bundesland</f>
        <v>Verae_Proz_Burgenland</v>
      </c>
      <c r="N45" t="s">
        <v>47</v>
      </c>
      <c r="O45" t="s">
        <v>48</v>
      </c>
      <c r="P45"/>
    </row>
    <row r="46" spans="1:19" x14ac:dyDescent="0.35">
      <c r="A46" s="8" t="s">
        <v>1</v>
      </c>
      <c r="B46" s="9">
        <f t="shared" ref="B46:B55" si="68">IF(AND(Richtung="Exporte",Periodizität="Jahresdaten",Auswahl_Jahr&lt;=Max_Jahr_Jahresdaten,Auswahl_Jahr&gt;=Min_Jahr_Jahresdaten),VLOOKUP($A46,Matrix_Exporte_Jahresdaten,Spaltenindex_Jahresdaten,FALSE)/Division,IF(AND(Richtung="Importe",Periodizität="Jahresdaten",Auswahl_Jahr&lt;=Max_Jahr_Jahresdaten,Auswahl_Jahr&gt;=Min_Jahr_Jahresdaten),VLOOKUP($A46,Matrix_Importe_Jahresdaten,Spaltenindex_Jahresdaten,FALSE)/Division,IF(AND(Richtung="Handelsbilanzsaldo",Periodizität="Jahresdaten",Auswahl_Jahr&lt;=Max_Jahr_Jahresdaten,Auswahl_Jahr&gt;=Min_Jahr_Jahresdaten),VLOOKUP($A46,Matrix_Handelsbilanzsaldo_Jahresdaten,Spaltenindex_Jahresdaten,FALSE)/Division,IF(AND(Richtung="Exporte",Periodizität="Halbjahresdaten",Auswahl_Jahr&lt;=Max_Jahr_Halbjahresdaten,Auswahl_Jahr&gt;=Min_Jahr_Halbjahresdaten),VLOOKUP($A46,Matrix_Exporte_Halbjahresdaten,Spaltenindex_Halbjahresdaten,FALSE)/Division,IF(AND(Richtung="Importe",Periodizität="Halbjahresdaten",Auswahl_Jahr&lt;=Max_Jahr_Halbjahresdaten,Auswahl_Jahr&gt;=Min_Jahr_Halbjahresdaten),VLOOKUP($A46,Matrix_Importe_Halbjahresdaten,Spaltenindex_Halbjahresdaten,FALSE)/Division,IF(AND(Richtung="Handelsbilanzsaldo",Periodizität="Halbjahresdaten",Auswahl_Jahr&lt;=Max_Jahr_Halbjahresdaten,Auswahl_Jahr&gt;=Min_Jahr_Halbjahresdaten),VLOOKUP($A46,Matrix_Handelsbilanzsaldo_Halbjahresdaten,Spaltenindex_Halbjahresdaten,FALSE)/Division,NA()))))))</f>
        <v>2868885.31</v>
      </c>
      <c r="C46" s="9">
        <f t="shared" ref="C46:C55" si="69">IF(AND(Richtung="Exporte",Periodizität="Jahresdaten",Auswahl_Jahr-1&lt;=Max_Jahr_Jahresdaten,Auswahl_Jahr-1&gt;=Min_Jahr_Jahresdaten),VLOOKUP($A46,Matrix_Exporte_Jahresdaten,Spaltenindex_Jahresdaten-1,FALSE)/Division,IF(AND(Richtung="Importe",Periodizität="Jahresdaten",Auswahl_Jahr-1&lt;=Max_Jahr_Jahresdaten,Auswahl_Jahr-1&gt;=Min_Jahr_Jahresdaten),VLOOKUP($A46,Matrix_Importe_Jahresdaten,Spaltenindex_Jahresdaten-1,FALSE)/Division,IF(AND(Richtung="Handelsbilanzsaldo",Periodizität="Jahresdaten",Auswahl_Jahr-1&lt;=Max_Jahr_Jahresdaten,Auswahl_Jahr-1&gt;=Min_Jahr_Jahresdaten),VLOOKUP($A46,Matrix_Handelsbilanzsaldo_Jahresdaten,Spaltenindex_Jahresdaten-1,FALSE)/Division,IF(AND(Richtung="Exporte",Periodizität="Halbjahresdaten",Auswahl_Jahr-1&lt;=Max_Jahr_Halbjahresdaten,Auswahl_Jahr-1&gt;=Min_Jahr_Halbjahresdaten),VLOOKUP($A46,Matrix_Exporte_Halbjahresdaten,Spaltenindex_Halbjahresdaten-1,FALSE)/Division,IF(AND(Richtung="Importe",Periodizität="Halbjahresdaten",Auswahl_Jahr-1&lt;=Max_Jahr_Halbjahresdaten,Auswahl_Jahr-1&gt;=Min_Jahr_Halbjahresdaten),VLOOKUP($A46,Matrix_Importe_Halbjahresdaten,Spaltenindex_Halbjahresdaten-1,FALSE)/Division,IF(AND(Richtung="Handelsbilanzsaldo",Periodizität="Halbjahresdaten",Auswahl_Jahr-1&lt;=Max_Jahr_Halbjahresdaten,Auswahl_Jahr-1&gt;=Min_Jahr_Halbjahresdaten),VLOOKUP($A46,Matrix_Handelsbilanzsaldo_Halbjahresdaten,Spaltenindex_Halbjahresdaten-1,FALSE)/Division,NA()))))))</f>
        <v>2852177.05</v>
      </c>
      <c r="D46" s="11">
        <f>B46*100/$B$55</f>
        <v>1.5005891787566217</v>
      </c>
      <c r="E46" s="9">
        <f>IF(ISERROR(C46),0,B46-C46)</f>
        <v>16708.260000000242</v>
      </c>
      <c r="F46" s="36">
        <f>IF(ISERROR(C46),0,(B46*100/C46)-100)</f>
        <v>0.58580725204279815</v>
      </c>
      <c r="G46" s="30">
        <v>7.9</v>
      </c>
      <c r="H46" s="30">
        <v>13700</v>
      </c>
      <c r="I46" s="13" t="s">
        <v>14</v>
      </c>
      <c r="J46" s="14">
        <f t="shared" ref="J46:J54" si="70">IF(Richtung="Handelsbilanzsaldo",NA(),D46)</f>
        <v>1.5005891787566217</v>
      </c>
      <c r="K46" s="30">
        <f t="shared" ref="K46:K54" si="71">IF($A46=Auswahl_Bundesland,E46," ")</f>
        <v>16708.260000000242</v>
      </c>
      <c r="L46" s="30">
        <f t="shared" ref="L46:L54" si="72">IF(AND(ISERROR(C46),$A46=Auswahl_Bundesland),F46,IF(OR(ISERROR(C46),$A46=Auswahl_Bundesland),F46,NA()))</f>
        <v>0.58580725204279815</v>
      </c>
      <c r="M46" s="30">
        <f>IF(K46&lt;&gt;0,K46,NA())</f>
        <v>16708.260000000242</v>
      </c>
      <c r="N46">
        <f>IF(AND(MAX(E46:E54)&gt;MIN(E46:E54)*-1,MIN(E46:E54)&lt;0),MAX(E46:E54),IF(AND(MAX(E46:E54)&lt;MIN(E46:E54)*-1,MAX(E46:E54)&gt;0),MIN(E46:E54),0))</f>
        <v>-5989638.3359999955</v>
      </c>
      <c r="O46">
        <f>IF(AND(MAX(F46:F54)&gt;MIN(F46:F54)*-1,MIN(F46:F54)&lt;0),MAX(F46:F54),IF(AND(MAX(F46:F54)&lt;MIN(F46:F54)*-1,MAX(F46:F54)&gt;0),MIN(F46:F54),0))</f>
        <v>-11.039963514986965</v>
      </c>
      <c r="P46" s="62">
        <v>1</v>
      </c>
    </row>
    <row r="47" spans="1:19" x14ac:dyDescent="0.35">
      <c r="A47" s="8" t="s">
        <v>2</v>
      </c>
      <c r="B47" s="9">
        <f t="shared" si="68"/>
        <v>9329924.102</v>
      </c>
      <c r="C47" s="9">
        <f t="shared" si="69"/>
        <v>9510684.4590000007</v>
      </c>
      <c r="D47" s="11">
        <f t="shared" ref="D47:D55" si="73">B47*100/$B$55</f>
        <v>4.8800776724259469</v>
      </c>
      <c r="E47" s="9">
        <f t="shared" ref="E47:E54" si="74">IF(ISERROR(C47),0,B47-C47)</f>
        <v>-180760.35700000077</v>
      </c>
      <c r="F47" s="36">
        <f t="shared" ref="F47:F54" si="75">IF(ISERROR(C47),0,(B47*100/C47)-100)</f>
        <v>-1.9006030299842962</v>
      </c>
      <c r="G47" s="30">
        <v>5.0999999999999899</v>
      </c>
      <c r="H47" s="30">
        <v>5500</v>
      </c>
      <c r="I47" s="15" t="s">
        <v>15</v>
      </c>
      <c r="J47" s="14">
        <f t="shared" si="70"/>
        <v>4.8800776724259469</v>
      </c>
      <c r="K47" s="30" t="str">
        <f t="shared" si="71"/>
        <v xml:space="preserve"> </v>
      </c>
      <c r="L47" s="30" t="e">
        <f t="shared" si="72"/>
        <v>#N/A</v>
      </c>
      <c r="M47" s="30" t="str">
        <f t="shared" ref="M47:M55" si="76">IF(K47&lt;&gt;0,K47,NA())</f>
        <v xml:space="preserve"> </v>
      </c>
      <c r="N47" t="s">
        <v>49</v>
      </c>
      <c r="O47" t="s">
        <v>50</v>
      </c>
      <c r="P47" s="62">
        <v>2</v>
      </c>
    </row>
    <row r="48" spans="1:19" x14ac:dyDescent="0.35">
      <c r="A48" s="8" t="s">
        <v>3</v>
      </c>
      <c r="B48" s="9">
        <f t="shared" si="68"/>
        <v>28647835.686999999</v>
      </c>
      <c r="C48" s="9">
        <f t="shared" si="69"/>
        <v>30268043.546999998</v>
      </c>
      <c r="D48" s="11">
        <f t="shared" si="73"/>
        <v>14.984437362088192</v>
      </c>
      <c r="E48" s="9">
        <f t="shared" si="74"/>
        <v>-1620207.8599999994</v>
      </c>
      <c r="F48" s="36">
        <f t="shared" si="75"/>
        <v>-5.3528661589380704</v>
      </c>
      <c r="G48" s="30">
        <v>6.75</v>
      </c>
      <c r="H48" s="30">
        <v>22000</v>
      </c>
      <c r="I48" s="15" t="s">
        <v>16</v>
      </c>
      <c r="J48" s="14">
        <f t="shared" si="70"/>
        <v>14.984437362088192</v>
      </c>
      <c r="K48" s="30" t="str">
        <f t="shared" si="71"/>
        <v xml:space="preserve"> </v>
      </c>
      <c r="L48" s="30" t="e">
        <f t="shared" si="72"/>
        <v>#N/A</v>
      </c>
      <c r="M48" s="30" t="str">
        <f t="shared" si="76"/>
        <v xml:space="preserve"> </v>
      </c>
      <c r="N48">
        <f>N46*-1</f>
        <v>5989638.3359999955</v>
      </c>
      <c r="O48">
        <f>O46*-1</f>
        <v>11.039963514986965</v>
      </c>
      <c r="P48" s="62">
        <v>3</v>
      </c>
    </row>
    <row r="49" spans="1:16" x14ac:dyDescent="0.35">
      <c r="A49" s="8" t="s">
        <v>4</v>
      </c>
      <c r="B49" s="9">
        <f t="shared" si="68"/>
        <v>48264511.398000002</v>
      </c>
      <c r="C49" s="9">
        <f t="shared" si="69"/>
        <v>54254149.733999997</v>
      </c>
      <c r="D49" s="11">
        <f t="shared" si="73"/>
        <v>25.245067577070355</v>
      </c>
      <c r="E49" s="9">
        <f t="shared" si="74"/>
        <v>-5989638.3359999955</v>
      </c>
      <c r="F49" s="36">
        <f t="shared" si="75"/>
        <v>-11.039963514986965</v>
      </c>
      <c r="G49" s="30">
        <v>5.0999999999999899</v>
      </c>
      <c r="H49" s="30">
        <v>19500</v>
      </c>
      <c r="I49" s="15" t="s">
        <v>17</v>
      </c>
      <c r="J49" s="14">
        <f t="shared" si="70"/>
        <v>25.245067577070355</v>
      </c>
      <c r="K49" s="30" t="str">
        <f t="shared" si="71"/>
        <v xml:space="preserve"> </v>
      </c>
      <c r="L49" s="30" t="e">
        <f t="shared" si="72"/>
        <v>#N/A</v>
      </c>
      <c r="M49" s="30" t="str">
        <f t="shared" si="76"/>
        <v xml:space="preserve"> </v>
      </c>
      <c r="P49" s="62">
        <v>4</v>
      </c>
    </row>
    <row r="50" spans="1:16" x14ac:dyDescent="0.35">
      <c r="A50" s="8" t="s">
        <v>5</v>
      </c>
      <c r="B50" s="9">
        <f t="shared" si="68"/>
        <v>13068970.066</v>
      </c>
      <c r="C50" s="9">
        <f t="shared" si="69"/>
        <v>13979185.207</v>
      </c>
      <c r="D50" s="11">
        <f t="shared" si="73"/>
        <v>6.8358100584138759</v>
      </c>
      <c r="E50" s="9">
        <f t="shared" si="74"/>
        <v>-910215.14100000076</v>
      </c>
      <c r="F50" s="36">
        <f t="shared" si="75"/>
        <v>-6.5112174101836473</v>
      </c>
      <c r="G50" s="30">
        <v>4.25</v>
      </c>
      <c r="H50" s="30">
        <v>11000</v>
      </c>
      <c r="I50" s="15" t="s">
        <v>18</v>
      </c>
      <c r="J50" s="14">
        <f t="shared" si="70"/>
        <v>6.8358100584138759</v>
      </c>
      <c r="K50" s="30" t="str">
        <f t="shared" si="71"/>
        <v xml:space="preserve"> </v>
      </c>
      <c r="L50" s="30" t="e">
        <f t="shared" si="72"/>
        <v>#N/A</v>
      </c>
      <c r="M50" s="30" t="str">
        <f t="shared" si="76"/>
        <v xml:space="preserve"> </v>
      </c>
      <c r="P50" s="62">
        <v>5</v>
      </c>
    </row>
    <row r="51" spans="1:16" x14ac:dyDescent="0.35">
      <c r="A51" s="8" t="s">
        <v>6</v>
      </c>
      <c r="B51" s="9">
        <f t="shared" si="68"/>
        <v>28511366.274999999</v>
      </c>
      <c r="C51" s="9">
        <f t="shared" si="69"/>
        <v>28876795.151000001</v>
      </c>
      <c r="D51" s="11">
        <f t="shared" si="73"/>
        <v>14.913056145779313</v>
      </c>
      <c r="E51" s="9">
        <f t="shared" si="74"/>
        <v>-365428.87600000203</v>
      </c>
      <c r="F51" s="36">
        <f t="shared" si="75"/>
        <v>-1.2654758746222825</v>
      </c>
      <c r="G51" s="30">
        <v>6.25</v>
      </c>
      <c r="H51" s="30">
        <v>12000</v>
      </c>
      <c r="I51" s="15" t="s">
        <v>19</v>
      </c>
      <c r="J51" s="14">
        <f t="shared" si="70"/>
        <v>14.913056145779313</v>
      </c>
      <c r="K51" s="30" t="str">
        <f t="shared" si="71"/>
        <v xml:space="preserve"> </v>
      </c>
      <c r="L51" s="30" t="e">
        <f t="shared" si="72"/>
        <v>#N/A</v>
      </c>
      <c r="M51" s="30" t="str">
        <f t="shared" si="76"/>
        <v xml:space="preserve"> </v>
      </c>
      <c r="P51" s="62">
        <v>6</v>
      </c>
    </row>
    <row r="52" spans="1:16" x14ac:dyDescent="0.35">
      <c r="A52" s="8" t="s">
        <v>7</v>
      </c>
      <c r="B52" s="9">
        <f t="shared" si="68"/>
        <v>16619121.834000001</v>
      </c>
      <c r="C52" s="9">
        <f t="shared" si="69"/>
        <v>16436477.328</v>
      </c>
      <c r="D52" s="11">
        <f t="shared" si="73"/>
        <v>8.6927401027886688</v>
      </c>
      <c r="E52" s="9">
        <f t="shared" si="74"/>
        <v>182644.50600000098</v>
      </c>
      <c r="F52" s="36">
        <f t="shared" si="75"/>
        <v>1.1112144187298583</v>
      </c>
      <c r="G52" s="30">
        <v>2.25</v>
      </c>
      <c r="H52" s="30">
        <v>10500</v>
      </c>
      <c r="I52" s="15" t="s">
        <v>20</v>
      </c>
      <c r="J52" s="14">
        <f t="shared" si="70"/>
        <v>8.6927401027886688</v>
      </c>
      <c r="K52" s="30" t="str">
        <f t="shared" si="71"/>
        <v xml:space="preserve"> </v>
      </c>
      <c r="L52" s="30" t="e">
        <f t="shared" si="72"/>
        <v>#N/A</v>
      </c>
      <c r="M52" s="30" t="str">
        <f t="shared" si="76"/>
        <v xml:space="preserve"> </v>
      </c>
      <c r="P52" s="62">
        <v>7</v>
      </c>
    </row>
    <row r="53" spans="1:16" x14ac:dyDescent="0.35">
      <c r="A53" s="8" t="s">
        <v>8</v>
      </c>
      <c r="B53" s="9">
        <f t="shared" si="68"/>
        <v>13091852.689999999</v>
      </c>
      <c r="C53" s="9">
        <f t="shared" si="69"/>
        <v>13310969.931</v>
      </c>
      <c r="D53" s="11">
        <f t="shared" si="73"/>
        <v>6.8477789641893247</v>
      </c>
      <c r="E53" s="9">
        <f t="shared" si="74"/>
        <v>-219117.24100000039</v>
      </c>
      <c r="F53" s="36">
        <f t="shared" si="75"/>
        <v>-1.6461403048450762</v>
      </c>
      <c r="G53" s="30">
        <v>0.8</v>
      </c>
      <c r="H53" s="30">
        <v>11000</v>
      </c>
      <c r="I53" s="15" t="s">
        <v>21</v>
      </c>
      <c r="J53" s="14">
        <f t="shared" si="70"/>
        <v>6.8477789641893247</v>
      </c>
      <c r="K53" s="30" t="str">
        <f t="shared" si="71"/>
        <v xml:space="preserve"> </v>
      </c>
      <c r="L53" s="30" t="e">
        <f t="shared" si="72"/>
        <v>#N/A</v>
      </c>
      <c r="M53" s="30" t="str">
        <f t="shared" si="76"/>
        <v xml:space="preserve"> </v>
      </c>
      <c r="P53" s="62">
        <v>8</v>
      </c>
    </row>
    <row r="54" spans="1:16" x14ac:dyDescent="0.35">
      <c r="A54" s="8" t="s">
        <v>9</v>
      </c>
      <c r="B54" s="9">
        <f t="shared" si="68"/>
        <v>30781458.965999998</v>
      </c>
      <c r="C54" s="9">
        <f t="shared" si="69"/>
        <v>31266934.359000001</v>
      </c>
      <c r="D54" s="11">
        <f t="shared" si="73"/>
        <v>16.100442938487696</v>
      </c>
      <c r="E54" s="9">
        <f t="shared" si="74"/>
        <v>-485475.39300000295</v>
      </c>
      <c r="F54" s="36">
        <f t="shared" si="75"/>
        <v>-1.5526798611782056</v>
      </c>
      <c r="G54" s="30">
        <v>7.75</v>
      </c>
      <c r="H54" s="30">
        <v>20000</v>
      </c>
      <c r="I54" s="15" t="s">
        <v>22</v>
      </c>
      <c r="J54" s="14">
        <f t="shared" si="70"/>
        <v>16.100442938487696</v>
      </c>
      <c r="K54" s="30" t="str">
        <f t="shared" si="71"/>
        <v xml:space="preserve"> </v>
      </c>
      <c r="L54" s="30" t="e">
        <f t="shared" si="72"/>
        <v>#N/A</v>
      </c>
      <c r="M54" s="30" t="str">
        <f t="shared" si="76"/>
        <v xml:space="preserve"> </v>
      </c>
      <c r="P54" s="62">
        <v>9</v>
      </c>
    </row>
    <row r="55" spans="1:16" x14ac:dyDescent="0.35">
      <c r="A55" s="10" t="s">
        <v>10</v>
      </c>
      <c r="B55" s="9">
        <f t="shared" si="68"/>
        <v>191183926.32800001</v>
      </c>
      <c r="C55" s="9">
        <f t="shared" si="69"/>
        <v>200755416.766</v>
      </c>
      <c r="D55" s="11">
        <f t="shared" si="73"/>
        <v>99.999999999999986</v>
      </c>
      <c r="E55" s="9" t="str">
        <f>IF(ISERROR(TEXT(IF(ISERROR(C55),0,B55-C55),"#.###")),TEXT(IF(ISERROR(C55),0,B55-C55),"# ###"),TEXT(IF(ISERROR(C55),0,B55-C55),"#.###"))</f>
        <v>-9.571.490</v>
      </c>
      <c r="F55" s="36" t="str">
        <f>TEXT(IF(ISERROR(C55),0,(B55*100/C55)-100),"##0,0")</f>
        <v>-4,8</v>
      </c>
      <c r="G55" s="30">
        <v>2.25</v>
      </c>
      <c r="H55" s="30">
        <v>20000</v>
      </c>
      <c r="K55" s="43">
        <f>B55-C55</f>
        <v>-9571490.4379999936</v>
      </c>
      <c r="L55" s="30">
        <f>(B55*100/C55)-100</f>
        <v>-4.7677370763831135</v>
      </c>
      <c r="M55" s="30">
        <f t="shared" si="76"/>
        <v>-9571490.4379999936</v>
      </c>
      <c r="P55" s="62"/>
    </row>
    <row r="56" spans="1:16" x14ac:dyDescent="0.35">
      <c r="K56" s="43">
        <f t="shared" ref="K56:K57" si="77">B56-C56</f>
        <v>0</v>
      </c>
      <c r="P56" s="62"/>
    </row>
    <row r="57" spans="1:16" x14ac:dyDescent="0.35">
      <c r="A57" s="30" t="str">
        <f>Auswahl_Bundesland</f>
        <v>Burgenland</v>
      </c>
      <c r="B57" s="30">
        <f>VLOOKUP($A$57,$A$46:$H$55,2,FALSE)</f>
        <v>2868885.31</v>
      </c>
      <c r="C57" s="30">
        <f>VLOOKUP($A$57,$A$46:$H$55,3,FALSE)</f>
        <v>2852177.05</v>
      </c>
      <c r="E57" s="30" t="str">
        <f>IF(ISERROR(TEXT(VLOOKUP($A$57,$A$46:$H$55,5,FALSE),"#.###")),TEXT(VLOOKUP($A$57,$A$46:$H$55,5,FALSE),"# ###"),TEXT(VLOOKUP($A$57,$A$46:$H$55,5,FALSE),"#.###"))</f>
        <v>16.708</v>
      </c>
      <c r="F57" s="30" t="str">
        <f>TEXT(VLOOKUP($A$57,$A$46:$H$55,6,FALSE),"##0,0")</f>
        <v>0,6</v>
      </c>
      <c r="G57" s="30">
        <f>VLOOKUP($A$57,$A$46:$H$55,7,FALSE)</f>
        <v>7.9</v>
      </c>
      <c r="H57" s="30">
        <f>VLOOKUP($A$57,$A$46:$H$55,8,FALSE)</f>
        <v>13700</v>
      </c>
      <c r="I57" s="30" t="str">
        <f>INDEX($I$46:$J$54,$C$66,1)</f>
        <v>B</v>
      </c>
      <c r="J57" s="30">
        <f>INDEX($I$46:$J$54,$P$57,2)</f>
        <v>1.5005891787566217</v>
      </c>
      <c r="K57" s="43">
        <f t="shared" si="77"/>
        <v>16708.260000000242</v>
      </c>
      <c r="L57" s="30">
        <f t="shared" ref="L57" si="78">(B57*100/C57)-100</f>
        <v>0.58580725204279815</v>
      </c>
      <c r="P57" s="62">
        <f>VLOOKUP(A57,A46:P54,16,FALSE)</f>
        <v>1</v>
      </c>
    </row>
    <row r="59" spans="1:16" x14ac:dyDescent="0.35">
      <c r="A59" s="30" t="str">
        <f>IF(Periodizität="Jahresdaten","Regionaler Außenhandel " &amp; Auswahl_Jahr &amp; " " &amp; Einheit &amp; ", " &amp; Status_Jahresdaten_Bezeichnung,"Regionaler Außenhandel im 1. Halbjahr " &amp; Auswahl_Jahr &amp; " " &amp; Einheit &amp; ", " &amp; Status_Halbjahresdaten_Bezeichnung)</f>
        <v>Regionaler Außenhandel 2024 in 1.000 Euro, endgültige Daten</v>
      </c>
    </row>
    <row r="60" spans="1:16" x14ac:dyDescent="0.35">
      <c r="A60" s="30" t="str">
        <f>"Anteil in Prozent"</f>
        <v>Anteil in Prozent</v>
      </c>
    </row>
    <row r="61" spans="1:16" x14ac:dyDescent="0.35">
      <c r="A61" s="30" t="str">
        <f>IF(Auswahl_Jahr&lt;2011,"","Absolute und prozentuelle Veränderung")</f>
        <v>Absolute und prozentuelle Veränderung</v>
      </c>
    </row>
    <row r="62" spans="1:16" x14ac:dyDescent="0.35">
      <c r="A62" s="30" t="str">
        <f>IF(Periodizität="Jahresdaten","Regionaler Außenhandel " &amp; Auswahl_Jahr &amp; " " &amp; Einheit &amp; ", " &amp; Status_Jahresdaten_Bezeichnung,"Regionaler Außenhandel im 1. Halbjahr " &amp; Auswahl_Jahr &amp; " " &amp; Einheit &amp; ", " &amp; Status_Halbjahresdaten_Bezeichnung)</f>
        <v>Regionaler Außenhandel 2024 in 1.000 Euro, endgültige Daten</v>
      </c>
    </row>
    <row r="63" spans="1:16" x14ac:dyDescent="0.35">
      <c r="A63" s="30" t="str">
        <f>IF(Auswahl_Jahr&gt;=2011,"","Für das Berichtsjahr 2010 kann keine Veränderung berechnet werden, da uns Zahlen aus früheren Jahren nicht zur Verfügung stehen.")</f>
        <v/>
      </c>
    </row>
    <row r="65" spans="1:8" x14ac:dyDescent="0.35">
      <c r="A65"/>
      <c r="B65" s="12" t="s">
        <v>23</v>
      </c>
      <c r="C65" s="8"/>
      <c r="D65"/>
    </row>
    <row r="66" spans="1:8" x14ac:dyDescent="0.35">
      <c r="A66"/>
      <c r="B66"/>
      <c r="C66" s="61">
        <f>P57</f>
        <v>1</v>
      </c>
      <c r="D66" s="16" t="str">
        <f>I57</f>
        <v>B</v>
      </c>
      <c r="E66" s="17">
        <f>J57</f>
        <v>1.5005891787566217</v>
      </c>
      <c r="F66" s="62">
        <f>C66</f>
        <v>1</v>
      </c>
      <c r="G66" s="62" t="str">
        <f>D66</f>
        <v>B</v>
      </c>
      <c r="H66" s="17">
        <f>E66</f>
        <v>1.5005891787566217</v>
      </c>
    </row>
    <row r="67" spans="1:8" x14ac:dyDescent="0.35">
      <c r="A67">
        <v>1</v>
      </c>
      <c r="B67" t="s">
        <v>14</v>
      </c>
      <c r="C67" s="16">
        <f>IF(A67&lt;$C$66,A67,A67+1)</f>
        <v>2</v>
      </c>
      <c r="D67" s="17" t="str">
        <f>INDEX($I$46:$J$54,C67,1)</f>
        <v>K</v>
      </c>
      <c r="E67" s="17">
        <f>INDEX($I$46:$J$54,C67,2)</f>
        <v>4.8800776724259469</v>
      </c>
      <c r="F67">
        <v>1</v>
      </c>
      <c r="G67" s="62" t="str">
        <f>INDEX($D$67:$E$75,MATCH(LARGE($E$67:$E$75,F67),$E$67:$E$75,0),1)</f>
        <v>OÖ</v>
      </c>
      <c r="H67" s="62">
        <f>INDEX($D$67:$E$75,MATCH(LARGE($E$67:$E$75,F67),$E$67:$E$75,0),2)</f>
        <v>25.245067577070355</v>
      </c>
    </row>
    <row r="68" spans="1:8" x14ac:dyDescent="0.35">
      <c r="A68">
        <v>2</v>
      </c>
      <c r="B68" t="s">
        <v>15</v>
      </c>
      <c r="C68" s="16">
        <f t="shared" ref="C68:C74" si="79">IF(A68&lt;$C$66,A68,A68+1)</f>
        <v>3</v>
      </c>
      <c r="D68" s="17" t="str">
        <f t="shared" ref="D68:D74" si="80">INDEX($I$46:$J$54,C68,1)</f>
        <v>NÖ</v>
      </c>
      <c r="E68" s="17">
        <f t="shared" ref="E68:E74" si="81">INDEX($I$46:$J$54,C68,2)</f>
        <v>14.984437362088192</v>
      </c>
      <c r="F68">
        <v>2</v>
      </c>
      <c r="G68" s="62" t="str">
        <f t="shared" ref="G68:G75" si="82">INDEX($D$67:$E$75,MATCH(LARGE($E$67:$E$75,F68),$E$67:$E$75,0),1)</f>
        <v>W</v>
      </c>
      <c r="H68" s="62">
        <f t="shared" ref="H68:H75" si="83">INDEX($D$67:$E$75,MATCH(LARGE($E$67:$E$75,F68),$E$67:$E$75,0),2)</f>
        <v>16.100442938487696</v>
      </c>
    </row>
    <row r="69" spans="1:8" x14ac:dyDescent="0.35">
      <c r="A69">
        <v>3</v>
      </c>
      <c r="B69" t="s">
        <v>16</v>
      </c>
      <c r="C69" s="16">
        <f t="shared" si="79"/>
        <v>4</v>
      </c>
      <c r="D69" s="17" t="str">
        <f t="shared" si="80"/>
        <v>OÖ</v>
      </c>
      <c r="E69" s="17">
        <f t="shared" si="81"/>
        <v>25.245067577070355</v>
      </c>
      <c r="F69">
        <v>3</v>
      </c>
      <c r="G69" s="62" t="str">
        <f t="shared" si="82"/>
        <v>NÖ</v>
      </c>
      <c r="H69" s="62">
        <f t="shared" si="83"/>
        <v>14.984437362088192</v>
      </c>
    </row>
    <row r="70" spans="1:8" x14ac:dyDescent="0.35">
      <c r="A70">
        <v>4</v>
      </c>
      <c r="B70" t="s">
        <v>17</v>
      </c>
      <c r="C70" s="16">
        <f t="shared" si="79"/>
        <v>5</v>
      </c>
      <c r="D70" s="17" t="str">
        <f t="shared" si="80"/>
        <v>S</v>
      </c>
      <c r="E70" s="17">
        <f t="shared" si="81"/>
        <v>6.8358100584138759</v>
      </c>
      <c r="F70">
        <v>4</v>
      </c>
      <c r="G70" s="62" t="str">
        <f t="shared" si="82"/>
        <v>ST</v>
      </c>
      <c r="H70" s="62">
        <f t="shared" si="83"/>
        <v>14.913056145779313</v>
      </c>
    </row>
    <row r="71" spans="1:8" x14ac:dyDescent="0.35">
      <c r="A71">
        <v>5</v>
      </c>
      <c r="B71" t="s">
        <v>18</v>
      </c>
      <c r="C71" s="16">
        <f t="shared" si="79"/>
        <v>6</v>
      </c>
      <c r="D71" s="17" t="str">
        <f t="shared" si="80"/>
        <v>ST</v>
      </c>
      <c r="E71" s="17">
        <f t="shared" si="81"/>
        <v>14.913056145779313</v>
      </c>
      <c r="F71">
        <v>5</v>
      </c>
      <c r="G71" s="62" t="str">
        <f t="shared" si="82"/>
        <v>T</v>
      </c>
      <c r="H71" s="62">
        <f t="shared" si="83"/>
        <v>8.6927401027886688</v>
      </c>
    </row>
    <row r="72" spans="1:8" x14ac:dyDescent="0.35">
      <c r="A72">
        <v>6</v>
      </c>
      <c r="B72" t="s">
        <v>19</v>
      </c>
      <c r="C72" s="16">
        <f t="shared" si="79"/>
        <v>7</v>
      </c>
      <c r="D72" s="17" t="str">
        <f t="shared" si="80"/>
        <v>T</v>
      </c>
      <c r="E72" s="17">
        <f t="shared" si="81"/>
        <v>8.6927401027886688</v>
      </c>
      <c r="F72">
        <v>6</v>
      </c>
      <c r="G72" s="62" t="str">
        <f t="shared" si="82"/>
        <v>V</v>
      </c>
      <c r="H72" s="62">
        <f t="shared" si="83"/>
        <v>6.8477789641893247</v>
      </c>
    </row>
    <row r="73" spans="1:8" x14ac:dyDescent="0.35">
      <c r="A73">
        <v>7</v>
      </c>
      <c r="B73" t="s">
        <v>20</v>
      </c>
      <c r="C73" s="16">
        <f t="shared" si="79"/>
        <v>8</v>
      </c>
      <c r="D73" s="17" t="str">
        <f t="shared" si="80"/>
        <v>V</v>
      </c>
      <c r="E73" s="17">
        <f t="shared" si="81"/>
        <v>6.8477789641893247</v>
      </c>
      <c r="F73">
        <v>7</v>
      </c>
      <c r="G73" s="62" t="str">
        <f t="shared" si="82"/>
        <v>S</v>
      </c>
      <c r="H73" s="62">
        <f t="shared" si="83"/>
        <v>6.8358100584138759</v>
      </c>
    </row>
    <row r="74" spans="1:8" x14ac:dyDescent="0.35">
      <c r="A74">
        <v>8</v>
      </c>
      <c r="B74" t="s">
        <v>21</v>
      </c>
      <c r="C74" s="16">
        <f t="shared" si="79"/>
        <v>9</v>
      </c>
      <c r="D74" s="17" t="str">
        <f t="shared" si="80"/>
        <v>W</v>
      </c>
      <c r="E74" s="17">
        <f t="shared" si="81"/>
        <v>16.100442938487696</v>
      </c>
      <c r="F74">
        <v>8</v>
      </c>
      <c r="G74" s="62" t="str">
        <f t="shared" si="82"/>
        <v>K</v>
      </c>
      <c r="H74" s="62">
        <f t="shared" si="83"/>
        <v>4.8800776724259469</v>
      </c>
    </row>
    <row r="75" spans="1:8" x14ac:dyDescent="0.35">
      <c r="A75">
        <v>9</v>
      </c>
      <c r="B75" t="s">
        <v>22</v>
      </c>
      <c r="C75"/>
      <c r="D75"/>
      <c r="E75"/>
      <c r="F75">
        <v>9</v>
      </c>
      <c r="G75" s="62" t="e">
        <f t="shared" si="82"/>
        <v>#NUM!</v>
      </c>
      <c r="H75" s="62" t="e">
        <f t="shared" si="83"/>
        <v>#NUM!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28</vt:i4>
      </vt:variant>
    </vt:vector>
  </HeadingPairs>
  <TitlesOfParts>
    <vt:vector size="29" baseType="lpstr">
      <vt:lpstr>Dashboard</vt:lpstr>
      <vt:lpstr>AH_BLD</vt:lpstr>
      <vt:lpstr>AH_gesamt</vt:lpstr>
      <vt:lpstr>Auswahl_Bundesland</vt:lpstr>
      <vt:lpstr>Auswahl_Jahr</vt:lpstr>
      <vt:lpstr>Auswahl_Richtung</vt:lpstr>
      <vt:lpstr>Auswahl_Status</vt:lpstr>
      <vt:lpstr>Division</vt:lpstr>
      <vt:lpstr>Dashboard!Druckbereich</vt:lpstr>
      <vt:lpstr>Einheit</vt:lpstr>
      <vt:lpstr>Kartentitel</vt:lpstr>
      <vt:lpstr>Kartentitel_Kreis</vt:lpstr>
      <vt:lpstr>Kartentitel_Landkarte</vt:lpstr>
      <vt:lpstr>Kartentitel_Veränderung</vt:lpstr>
      <vt:lpstr>Keine_Veränderung</vt:lpstr>
      <vt:lpstr>Matrix_Exporte_Jahresdaten</vt:lpstr>
      <vt:lpstr>Matrix_Handelsbilanzsaldo_Jahresdaten</vt:lpstr>
      <vt:lpstr>Matrix_Importe_Jahresdaten</vt:lpstr>
      <vt:lpstr>Max_Jahr_Jahresdaten</vt:lpstr>
      <vt:lpstr>Min_Jahr_Jahresdaten</vt:lpstr>
      <vt:lpstr>Periodizität</vt:lpstr>
      <vt:lpstr>Richtung</vt:lpstr>
      <vt:lpstr>Spaltenindex_Jahresdaten</vt:lpstr>
      <vt:lpstr>Status_Jahresdaten</vt:lpstr>
      <vt:lpstr>Status_Jahresdaten_Bezeichnung</vt:lpstr>
      <vt:lpstr>Verae_absolut_bld</vt:lpstr>
      <vt:lpstr>Verae_absolut_gesamt</vt:lpstr>
      <vt:lpstr>Verae_proz_bld</vt:lpstr>
      <vt:lpstr>Verae_proz_gesamt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KollerC</dc:creator>
  <cp:lastModifiedBy>Koller Christoph | WKOE</cp:lastModifiedBy>
  <cp:lastPrinted>2015-01-27T14:31:48Z</cp:lastPrinted>
  <dcterms:created xsi:type="dcterms:W3CDTF">2009-09-08T10:55:18Z</dcterms:created>
  <dcterms:modified xsi:type="dcterms:W3CDTF">2026-04-13T11:03:37Z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-955372006</vt:i4>
  </property>
  <property fmtid="{D5CDD505-2E9C-101B-9397-08002B2CF9AE}" pid="4" name="_EmailSubject">
    <vt:lpwstr>Demografie-Check: Früherkennung und grafische Darstellung aktueller wie auch künftiger Personalprobleme</vt:lpwstr>
  </property>
  <property fmtid="{D5CDD505-2E9C-101B-9397-08002B2CF9AE}" pid="5" name="_AuthorEmail">
    <vt:lpwstr>Dirk.Kauffmann@wko.at</vt:lpwstr>
  </property>
  <property fmtid="{D5CDD505-2E9C-101B-9397-08002B2CF9AE}" pid="6" name="_AuthorEmailDisplayName">
    <vt:lpwstr>Kauffmann Dirk, Dipl.-Volksw. WKÖ Wp</vt:lpwstr>
  </property>
  <property fmtid="{D5CDD505-2E9C-101B-9397-08002B2CF9AE}" pid="7" name="_ReviewingToolsShownOnce">
    <vt:lpwstr/>
  </property>
</Properties>
</file>