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87" documentId="8_{2520D912-FD02-4342-9DC1-4C131785B507}" xr6:coauthVersionLast="40" xr6:coauthVersionMax="40" xr10:uidLastSave="{CC63D237-D4E9-4DC1-B7B8-9E2176A9AA34}"/>
  <bookViews>
    <workbookView xWindow="-108" yWindow="-108" windowWidth="23256" windowHeight="12576" tabRatio="845" xr2:uid="{00000000-000D-0000-FFFF-FFFF00000000}"/>
  </bookViews>
  <sheets>
    <sheet name="Eingabe Stundensatz" sheetId="56" r:id="rId1"/>
    <sheet name="Projektannahmen" sheetId="55" r:id="rId2"/>
    <sheet name="Leistungsumfang" sheetId="24" r:id="rId3"/>
    <sheet name="Terminplan" sheetId="33" r:id="rId4"/>
    <sheet name="Projektklassenfaktor" sheetId="18" r:id="rId5"/>
    <sheet name="Personaleinsatzplan" sheetId="35" r:id="rId6"/>
    <sheet name="Plausibilitätsprüfung" sheetId="39" r:id="rId7"/>
    <sheet name="Honorarermittlung" sheetId="49" r:id="rId8"/>
    <sheet name="LV" sheetId="50" r:id="rId9"/>
  </sheets>
  <definedNames>
    <definedName name="_ftn1" localSheetId="3">Terminplan!$A$14</definedName>
    <definedName name="_ftnref1" localSheetId="3">Terminplan!#REF!</definedName>
    <definedName name="_xlnm.Print_Area" localSheetId="2">Leistungsumfang!$A$1:$I$43</definedName>
    <definedName name="_xlnm.Print_Area" localSheetId="5">Personaleinsatzplan!$A$1:$W$100</definedName>
    <definedName name="_xlnm.Print_Area" localSheetId="6">Plausibilitätsprüfung!$A$1:$K$62</definedName>
    <definedName name="_xlnm.Print_Area" localSheetId="4">Projektklassenfaktor!$A:$H</definedName>
    <definedName name="_xlnm.Print_Area" localSheetId="3">Terminplan!$A$1:$AC$13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14" i="35" l="1"/>
  <c r="AQ6" i="35"/>
  <c r="AK6" i="35"/>
  <c r="AO11" i="35"/>
  <c r="AU10" i="35"/>
  <c r="AU11" i="35" s="1"/>
  <c r="AO10" i="35"/>
  <c r="AI10" i="35"/>
  <c r="AI11" i="35" s="1"/>
  <c r="AE6" i="35"/>
  <c r="AO13" i="35" l="1"/>
  <c r="AO14" i="35" s="1"/>
  <c r="AU13" i="35"/>
  <c r="AU14" i="35" s="1"/>
  <c r="AI13" i="35"/>
  <c r="AI14" i="35" s="1"/>
  <c r="E15" i="35"/>
  <c r="E12" i="35"/>
  <c r="E9" i="35"/>
  <c r="E4" i="35"/>
  <c r="E3" i="35"/>
  <c r="D33" i="18"/>
  <c r="D27" i="18"/>
  <c r="D19" i="18"/>
  <c r="D12" i="18"/>
  <c r="D4" i="18"/>
  <c r="D4" i="24"/>
  <c r="D4" i="50" s="1"/>
  <c r="D3" i="24"/>
  <c r="D3" i="50" s="1"/>
  <c r="AU17" i="35" l="1"/>
  <c r="AU16" i="35"/>
  <c r="AO16" i="35"/>
  <c r="AO17" i="35"/>
  <c r="AI16" i="35"/>
  <c r="AI17" i="35"/>
  <c r="AI19" i="35" s="1"/>
  <c r="B8" i="55"/>
  <c r="D4" i="39"/>
  <c r="D3" i="39"/>
  <c r="D4" i="49"/>
  <c r="F23" i="39"/>
  <c r="G23" i="39" s="1"/>
  <c r="F24" i="39"/>
  <c r="G24" i="39" s="1"/>
  <c r="F25" i="39"/>
  <c r="G25" i="39" s="1"/>
  <c r="F26" i="39"/>
  <c r="G26" i="39" s="1"/>
  <c r="F50" i="39"/>
  <c r="G50" i="39" s="1"/>
  <c r="F51" i="39"/>
  <c r="G51" i="39" s="1"/>
  <c r="F52" i="39"/>
  <c r="G52" i="39" s="1"/>
  <c r="F53" i="39"/>
  <c r="G53" i="39" s="1"/>
  <c r="F54" i="39"/>
  <c r="G54" i="39" s="1"/>
  <c r="F55" i="39"/>
  <c r="G55" i="39" s="1"/>
  <c r="N13" i="49"/>
  <c r="N16" i="49"/>
  <c r="N10" i="49"/>
  <c r="D59" i="39"/>
  <c r="E52" i="39" s="1"/>
  <c r="F48" i="39"/>
  <c r="F33" i="39"/>
  <c r="F18" i="39"/>
  <c r="P10" i="35"/>
  <c r="AH29" i="35"/>
  <c r="AI29" i="35" s="1"/>
  <c r="AH30" i="35"/>
  <c r="AI30" i="35" s="1"/>
  <c r="AH31" i="35"/>
  <c r="AI31" i="35" s="1"/>
  <c r="AB30" i="35"/>
  <c r="AC30" i="35" s="1"/>
  <c r="AD30" i="35"/>
  <c r="AE30" i="35" s="1"/>
  <c r="AF30" i="35"/>
  <c r="AG30" i="35" s="1"/>
  <c r="AJ30" i="35"/>
  <c r="AK30" i="35" s="1"/>
  <c r="AL30" i="35"/>
  <c r="AM30" i="35" s="1"/>
  <c r="AN30" i="35"/>
  <c r="AO30" i="35" s="1"/>
  <c r="AP30" i="35"/>
  <c r="AQ30" i="35" s="1"/>
  <c r="AR30" i="35"/>
  <c r="AS30" i="35" s="1"/>
  <c r="AT30" i="35"/>
  <c r="AU30" i="35" s="1"/>
  <c r="AV30" i="35"/>
  <c r="AW30" i="35"/>
  <c r="AX30" i="35"/>
  <c r="AY30" i="35" s="1"/>
  <c r="AZ30" i="35"/>
  <c r="BA30" i="35"/>
  <c r="BB30" i="35"/>
  <c r="BC30" i="35" s="1"/>
  <c r="BD30" i="35"/>
  <c r="BE30" i="35" s="1"/>
  <c r="AB31" i="35"/>
  <c r="AC31" i="35"/>
  <c r="AD31" i="35"/>
  <c r="AE31" i="35" s="1"/>
  <c r="AF31" i="35"/>
  <c r="AG31" i="35" s="1"/>
  <c r="AJ31" i="35"/>
  <c r="AK31" i="35" s="1"/>
  <c r="AL31" i="35"/>
  <c r="AM31" i="35" s="1"/>
  <c r="AN31" i="35"/>
  <c r="AO31" i="35" s="1"/>
  <c r="AP31" i="35"/>
  <c r="AQ31" i="35" s="1"/>
  <c r="AR31" i="35"/>
  <c r="AS31" i="35" s="1"/>
  <c r="AT31" i="35"/>
  <c r="AU31" i="35" s="1"/>
  <c r="AV31" i="35"/>
  <c r="AW31" i="35" s="1"/>
  <c r="AX31" i="35"/>
  <c r="AY31" i="35" s="1"/>
  <c r="AZ31" i="35"/>
  <c r="BA31" i="35" s="1"/>
  <c r="BB31" i="35"/>
  <c r="BC31" i="35" s="1"/>
  <c r="BD31" i="35"/>
  <c r="BE31" i="35" s="1"/>
  <c r="AB29" i="35"/>
  <c r="AC29" i="35" s="1"/>
  <c r="AD29" i="35"/>
  <c r="AE29" i="35"/>
  <c r="AF29" i="35"/>
  <c r="AG29" i="35" s="1"/>
  <c r="AJ29" i="35"/>
  <c r="AK29" i="35" s="1"/>
  <c r="AL29" i="35"/>
  <c r="AM29" i="35" s="1"/>
  <c r="AN29" i="35"/>
  <c r="AO29" i="35" s="1"/>
  <c r="AP29" i="35"/>
  <c r="AQ29" i="35" s="1"/>
  <c r="AR29" i="35"/>
  <c r="AS29" i="35" s="1"/>
  <c r="AT29" i="35"/>
  <c r="AU29" i="35" s="1"/>
  <c r="AV29" i="35"/>
  <c r="AW29" i="35"/>
  <c r="AX29" i="35"/>
  <c r="AY29" i="35" s="1"/>
  <c r="AZ29" i="35"/>
  <c r="BA29" i="35" s="1"/>
  <c r="BB29" i="35"/>
  <c r="BC29" i="35" s="1"/>
  <c r="BD29" i="35"/>
  <c r="BE29" i="35" s="1"/>
  <c r="Z31" i="35"/>
  <c r="AA31" i="35" s="1"/>
  <c r="Z30" i="35"/>
  <c r="AA30" i="35" s="1"/>
  <c r="Z29" i="35"/>
  <c r="AA29" i="35" s="1"/>
  <c r="D44" i="39"/>
  <c r="E38" i="39" s="1"/>
  <c r="F20" i="39"/>
  <c r="G20" i="39" s="1"/>
  <c r="F21" i="39"/>
  <c r="G21" i="39" s="1"/>
  <c r="F22" i="39"/>
  <c r="G22" i="39" s="1"/>
  <c r="F27" i="39"/>
  <c r="G27" i="39" s="1"/>
  <c r="F28" i="39"/>
  <c r="G28" i="39" s="1"/>
  <c r="F35" i="39"/>
  <c r="G35" i="39" s="1"/>
  <c r="F36" i="39"/>
  <c r="G36" i="39" s="1"/>
  <c r="F37" i="39"/>
  <c r="G37" i="39" s="1"/>
  <c r="F38" i="39"/>
  <c r="G38" i="39" s="1"/>
  <c r="F39" i="39"/>
  <c r="G39" i="39" s="1"/>
  <c r="F40" i="39"/>
  <c r="G40" i="39" s="1"/>
  <c r="F41" i="39"/>
  <c r="G41" i="39" s="1"/>
  <c r="F42" i="39"/>
  <c r="G42" i="39" s="1"/>
  <c r="F43" i="39"/>
  <c r="G43" i="39" s="1"/>
  <c r="F56" i="39"/>
  <c r="G56" i="39" s="1"/>
  <c r="F57" i="39"/>
  <c r="G57" i="39" s="1"/>
  <c r="F58" i="39"/>
  <c r="G58" i="39" s="1"/>
  <c r="D29" i="39"/>
  <c r="E25" i="39" s="1"/>
  <c r="F45" i="24"/>
  <c r="D11" i="39" s="1"/>
  <c r="U13" i="35"/>
  <c r="C12" i="18"/>
  <c r="E12" i="18"/>
  <c r="C19" i="18"/>
  <c r="E19" i="18"/>
  <c r="C27" i="18"/>
  <c r="E27" i="18"/>
  <c r="C33" i="18"/>
  <c r="E33" i="18"/>
  <c r="D21" i="24"/>
  <c r="D33" i="24"/>
  <c r="H10" i="35"/>
  <c r="U10" i="35"/>
  <c r="L10" i="35"/>
  <c r="G10" i="35"/>
  <c r="M10" i="35"/>
  <c r="K10" i="35"/>
  <c r="J10" i="35"/>
  <c r="N10" i="35"/>
  <c r="E43" i="39"/>
  <c r="E41" i="39"/>
  <c r="E35" i="39"/>
  <c r="E36" i="39"/>
  <c r="E40" i="39"/>
  <c r="E37" i="39"/>
  <c r="F16" i="35"/>
  <c r="S16" i="35"/>
  <c r="K16" i="35"/>
  <c r="N13" i="35"/>
  <c r="M16" i="35"/>
  <c r="O13" i="35"/>
  <c r="J16" i="35"/>
  <c r="F10" i="35"/>
  <c r="S10" i="35"/>
  <c r="O10" i="35"/>
  <c r="T10" i="35"/>
  <c r="R10" i="35"/>
  <c r="H16" i="35"/>
  <c r="L16" i="35"/>
  <c r="S13" i="35"/>
  <c r="P16" i="35"/>
  <c r="J13" i="35"/>
  <c r="Q16" i="35"/>
  <c r="U16" i="35"/>
  <c r="O16" i="35"/>
  <c r="Q10" i="35"/>
  <c r="N16" i="35"/>
  <c r="R13" i="35"/>
  <c r="I16" i="35"/>
  <c r="T16" i="35"/>
  <c r="G16" i="35"/>
  <c r="R16" i="35"/>
  <c r="I10" i="35"/>
  <c r="I13" i="35"/>
  <c r="G13" i="35"/>
  <c r="M13" i="35"/>
  <c r="Q13" i="35"/>
  <c r="F13" i="35"/>
  <c r="T13" i="35"/>
  <c r="L13" i="35"/>
  <c r="H13" i="35"/>
  <c r="P13" i="35"/>
  <c r="K13" i="35"/>
  <c r="D7" i="39"/>
  <c r="D38" i="18"/>
  <c r="D40" i="18" s="1"/>
  <c r="D8" i="39" s="1"/>
  <c r="D3" i="49"/>
  <c r="E51" i="39"/>
  <c r="E39" i="39"/>
  <c r="AU19" i="35" l="1"/>
  <c r="S17" i="35"/>
  <c r="D15" i="35"/>
  <c r="I17" i="35" s="1"/>
  <c r="B4" i="56"/>
  <c r="BA10" i="35"/>
  <c r="E55" i="39"/>
  <c r="E56" i="39"/>
  <c r="E57" i="39"/>
  <c r="L17" i="35"/>
  <c r="H17" i="35"/>
  <c r="B6" i="56"/>
  <c r="BA12" i="35"/>
  <c r="D9" i="35"/>
  <c r="S11" i="35" s="1"/>
  <c r="E26" i="39"/>
  <c r="N17" i="35"/>
  <c r="M11" i="35"/>
  <c r="R17" i="35"/>
  <c r="U17" i="35"/>
  <c r="Q17" i="35"/>
  <c r="AO19" i="35"/>
  <c r="E42" i="39"/>
  <c r="E44" i="39" s="1"/>
  <c r="E53" i="39"/>
  <c r="E58" i="39"/>
  <c r="E54" i="39"/>
  <c r="E50" i="39"/>
  <c r="E24" i="39"/>
  <c r="E27" i="39"/>
  <c r="E28" i="39"/>
  <c r="E21" i="39"/>
  <c r="E23" i="39"/>
  <c r="E20" i="39"/>
  <c r="E22" i="39"/>
  <c r="N21" i="35"/>
  <c r="J13" i="49" s="1"/>
  <c r="G21" i="35"/>
  <c r="J10" i="49" s="1"/>
  <c r="T21" i="35"/>
  <c r="J48" i="39" s="1"/>
  <c r="K58" i="39" s="1"/>
  <c r="G17" i="35" l="1"/>
  <c r="O17" i="35"/>
  <c r="P17" i="35"/>
  <c r="T17" i="35"/>
  <c r="R11" i="35"/>
  <c r="K11" i="35"/>
  <c r="Q11" i="35"/>
  <c r="J11" i="35"/>
  <c r="F11" i="35"/>
  <c r="P11" i="35"/>
  <c r="J17" i="35"/>
  <c r="F17" i="35"/>
  <c r="K17" i="35"/>
  <c r="B5" i="56"/>
  <c r="BA11" i="35"/>
  <c r="BA14" i="35" s="1"/>
  <c r="B3" i="56" s="1"/>
  <c r="D12" i="35"/>
  <c r="N11" i="35"/>
  <c r="G11" i="35"/>
  <c r="T11" i="35"/>
  <c r="O11" i="35"/>
  <c r="H11" i="35"/>
  <c r="I11" i="35"/>
  <c r="J33" i="39"/>
  <c r="I35" i="39" s="1"/>
  <c r="U11" i="35"/>
  <c r="L11" i="35"/>
  <c r="M17" i="35"/>
  <c r="J18" i="39"/>
  <c r="K28" i="39" s="1"/>
  <c r="J16" i="49"/>
  <c r="E59" i="39"/>
  <c r="E29" i="39"/>
  <c r="I50" i="39"/>
  <c r="I57" i="39"/>
  <c r="I42" i="39" l="1"/>
  <c r="K43" i="39"/>
  <c r="O14" i="35"/>
  <c r="U14" i="35"/>
  <c r="K61" i="39" s="1"/>
  <c r="G14" i="35"/>
  <c r="N14" i="35"/>
  <c r="T14" i="35"/>
  <c r="AB8" i="35" s="1"/>
  <c r="Q14" i="35"/>
  <c r="J14" i="35"/>
  <c r="S14" i="35"/>
  <c r="K14" i="35"/>
  <c r="R14" i="35"/>
  <c r="M14" i="35"/>
  <c r="H14" i="35"/>
  <c r="P14" i="35"/>
  <c r="L14" i="35"/>
  <c r="N20" i="35" s="1"/>
  <c r="I14" i="35"/>
  <c r="K46" i="39" s="1"/>
  <c r="F14" i="35"/>
  <c r="AA8" i="35"/>
  <c r="I27" i="39"/>
  <c r="I20" i="39"/>
  <c r="K31" i="39" l="1"/>
  <c r="K63" i="39" s="1"/>
  <c r="K66" i="39" s="1"/>
  <c r="Z8" i="35"/>
  <c r="H13" i="49"/>
  <c r="L13" i="49" s="1"/>
  <c r="P12" i="49" s="1"/>
  <c r="D46" i="39"/>
  <c r="T20" i="35"/>
  <c r="G20" i="35"/>
  <c r="H16" i="49" l="1"/>
  <c r="L16" i="49" s="1"/>
  <c r="P15" i="49" s="1"/>
  <c r="D61" i="39"/>
  <c r="D31" i="39"/>
  <c r="D63" i="39" s="1"/>
  <c r="K65" i="39" s="1"/>
  <c r="K67" i="39" s="1"/>
  <c r="H10" i="49"/>
  <c r="L10" i="49" s="1"/>
  <c r="P9" i="49" s="1"/>
  <c r="P18" i="49" s="1"/>
  <c r="P22" i="49" s="1"/>
  <c r="P24" i="49" s="1"/>
  <c r="P26" i="49" s="1"/>
</calcChain>
</file>

<file path=xl/sharedStrings.xml><?xml version="1.0" encoding="utf-8"?>
<sst xmlns="http://schemas.openxmlformats.org/spreadsheetml/2006/main" count="514" uniqueCount="253">
  <si>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</si>
  <si>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</si>
  <si>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</si>
  <si>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</si>
  <si>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</si>
  <si>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</si>
  <si>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</si>
  <si>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</si>
  <si>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</si>
  <si>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</si>
  <si>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</si>
  <si>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</si>
  <si>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</si>
  <si>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</si>
  <si>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</si>
  <si>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</si>
  <si>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</si>
  <si>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</si>
  <si>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</si>
  <si>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</si>
  <si>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</si>
  <si>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</si>
  <si>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</si>
  <si>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</si>
  <si>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</si>
  <si>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</si>
  <si>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</si>
  <si>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</si>
  <si>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</si>
  <si>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</si>
  <si>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</si>
  <si>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</si>
  <si>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</si>
  <si>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</si>
  <si>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</si>
  <si>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</si>
  <si>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</si>
  <si>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</si>
  <si>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</si>
  <si>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</si>
  <si>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</si>
  <si>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</si>
  <si>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</si>
  <si>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</si>
  <si>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</si>
  <si>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</si>
  <si>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</si>
  <si>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</si>
  <si>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</si>
  <si>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</si>
  <si>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Kostendruck</t>
  </si>
  <si>
    <t>zB. Kostenrahmen (extrem eng, eng, standard), Folgen der Kostenüberschreitung, Optimierungsmöglichkeiten, Reserven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</si>
  <si>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</si>
  <si>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</si>
  <si>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</si>
  <si>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</si>
  <si>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</si>
  <si>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</si>
  <si>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</si>
  <si>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2.1</t>
  </si>
  <si>
    <t>2.7</t>
  </si>
  <si>
    <t>2.8</t>
  </si>
  <si>
    <t>2.2</t>
  </si>
  <si>
    <t>2.3</t>
  </si>
  <si>
    <t>2.4</t>
  </si>
  <si>
    <t>2.5</t>
  </si>
  <si>
    <t>2.6</t>
  </si>
  <si>
    <t>Summe zivilrechtl. Preis</t>
  </si>
  <si>
    <t>€/h  (inkl. aller Zuschläge)</t>
  </si>
  <si>
    <t>siehe eigenes Ermittlungsblatt</t>
  </si>
  <si>
    <t>2.9</t>
  </si>
  <si>
    <t>Sonstige Teilleistungen</t>
  </si>
  <si>
    <t>Erläuterung</t>
  </si>
  <si>
    <t>Summe Angebotspreis</t>
  </si>
  <si>
    <t>Erläuterungen</t>
  </si>
  <si>
    <t>Punkte</t>
  </si>
  <si>
    <t>Bauüberwachung und Koordination</t>
  </si>
  <si>
    <t>Termin- und Kostenverfolgung</t>
  </si>
  <si>
    <t>Qualitätskontrolle</t>
  </si>
  <si>
    <t>Rechnungsprüfung</t>
  </si>
  <si>
    <t>Bearbeitung von Mehr- und Minderkostenforderungen</t>
  </si>
  <si>
    <t xml:space="preserve">Übernahme und Abnahme </t>
  </si>
  <si>
    <t>Mängelfeststellung und -bearbeitung</t>
  </si>
  <si>
    <t>Dokumentation</t>
  </si>
  <si>
    <t>Phase 3: Ausführungsvorbereitung</t>
  </si>
  <si>
    <t>Phase 5: Projektabschluss</t>
  </si>
  <si>
    <t>Phase 4: Ausführung</t>
  </si>
  <si>
    <t>Komplexität der ÖBA-Leistung</t>
  </si>
  <si>
    <t>Komplexität der Überwachungspflicht</t>
  </si>
  <si>
    <t>Koordinationsbedarf (anderer an der Ausführung fachlich Beteiligter)</t>
  </si>
  <si>
    <t>Anforderungen an die Terminvorgaben (Projekt)</t>
  </si>
  <si>
    <t>Zeitausmaß für Realisierung</t>
  </si>
  <si>
    <t>Anforderungen an die Kostenvorgaben (Projekt)</t>
  </si>
  <si>
    <t>Komplexität der Kostenverfolgung</t>
  </si>
  <si>
    <t>Projektrisiken der Realisierung</t>
  </si>
  <si>
    <t>Zwischensumme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</si>
  <si>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</si>
  <si>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</si>
  <si>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</si>
  <si>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</si>
  <si>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</si>
  <si>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t>hintereinander</t>
  </si>
  <si>
    <t>Bearbeitung von Mehr- &amp; Minderkostenforderungen</t>
  </si>
  <si>
    <t>ANALYSE DES LEISTUNGSUMFANGES DER ÖBA</t>
  </si>
  <si>
    <t>Projektklassenfaktor (PKF)</t>
  </si>
  <si>
    <t>Herstellkosten</t>
  </si>
  <si>
    <t>ERMITTLUNG DES PROJEKTKLASSENFAKTORS (ÖBA)</t>
  </si>
  <si>
    <t>B</t>
  </si>
  <si>
    <t xml:space="preserve">A </t>
  </si>
  <si>
    <t>C</t>
  </si>
  <si>
    <t>D</t>
  </si>
  <si>
    <t>Grundleistung</t>
  </si>
  <si>
    <t>optionale Leistung</t>
  </si>
  <si>
    <t>Dauer [Mo]</t>
  </si>
  <si>
    <t>Dauer d. Phase [Mo]</t>
  </si>
  <si>
    <t>[h/Mo]</t>
  </si>
  <si>
    <t>[%]</t>
  </si>
  <si>
    <t>[Mo]</t>
  </si>
  <si>
    <t>[h]</t>
  </si>
  <si>
    <t>Leistungs-umfang Grund-leistung</t>
  </si>
  <si>
    <t xml:space="preserve">Stunden / Mo 
(für 100% Grundleistung, ohne PKF) </t>
  </si>
  <si>
    <t>Ø tägl. Arbeitszeit [h/AT]</t>
  </si>
  <si>
    <t>h/AT</t>
  </si>
  <si>
    <t>Dauer Grund-leistung</t>
  </si>
  <si>
    <t>Beschreibung Leistungsumfang</t>
  </si>
  <si>
    <t>Gesamtdauer der Leistung</t>
  </si>
  <si>
    <t>Gesamtdauer Leistung</t>
  </si>
  <si>
    <t>Mo</t>
  </si>
  <si>
    <t>h/Mo</t>
  </si>
  <si>
    <t>Ausführungsvorbereitung</t>
  </si>
  <si>
    <t>Ausführung</t>
  </si>
  <si>
    <t>Projektabschluss</t>
  </si>
  <si>
    <t>Projekt-abschluss</t>
  </si>
  <si>
    <t>Ausführungs-vorbereitung</t>
  </si>
  <si>
    <t>Planung</t>
  </si>
  <si>
    <t>Projekt-vorbereitung</t>
  </si>
  <si>
    <t>Zeitschiene in  [Mo]</t>
  </si>
  <si>
    <t>ÖBA TEILLEISTUNGEN</t>
  </si>
  <si>
    <t>Übernahme und Abnahme</t>
  </si>
  <si>
    <t>Bearbeitung v. Mehr-&amp; Minderkostenf.</t>
  </si>
  <si>
    <t>B. 2.1</t>
  </si>
  <si>
    <t>B. 2.3</t>
  </si>
  <si>
    <t>B. 2.4</t>
  </si>
  <si>
    <t>B. 2.5</t>
  </si>
  <si>
    <t>B. 2.6</t>
  </si>
  <si>
    <t>B. 2.7</t>
  </si>
  <si>
    <t>B. 2.8</t>
  </si>
  <si>
    <t>B. 2.9</t>
  </si>
  <si>
    <t>Name</t>
  </si>
  <si>
    <t>Funktion</t>
  </si>
  <si>
    <t>Monate</t>
  </si>
  <si>
    <t>Summe</t>
  </si>
  <si>
    <t>+ Zuschlag / Nachlass [%]</t>
  </si>
  <si>
    <t>PERSONALEINSATZPLAN</t>
  </si>
  <si>
    <t>+ 20% MWSt.</t>
  </si>
  <si>
    <t>KV</t>
  </si>
  <si>
    <t xml:space="preserve">  </t>
  </si>
  <si>
    <t>Stunden für einzelnen Teil-leistungen</t>
  </si>
  <si>
    <t>Leistungsumfang [%]</t>
  </si>
  <si>
    <t>B. 2.2</t>
  </si>
  <si>
    <t>Verteilung Prozent</t>
  </si>
  <si>
    <t>Kosten je Monat</t>
  </si>
  <si>
    <t>Ausführungsvorber.</t>
  </si>
  <si>
    <t>Projektabschl.</t>
  </si>
  <si>
    <t>Stunden-satz Gruppe [€/h]</t>
  </si>
  <si>
    <t>Dauer der Phase</t>
  </si>
  <si>
    <t>E</t>
  </si>
  <si>
    <t>Kontrolle der Übereinstimmung der in Spalte A aufgeteilten Stunden mit den mittleren Stunden für die Phase laut Personaleinsatzplan</t>
  </si>
  <si>
    <t>PLAUSIBILITÄTSPRÜFUNG - STUNDENVERTEILUNG</t>
  </si>
  <si>
    <t>Ø</t>
  </si>
  <si>
    <t>Stunden je Monat</t>
  </si>
  <si>
    <t>Mittlerer Stundensatz /Phase</t>
  </si>
  <si>
    <t>Differenz</t>
  </si>
  <si>
    <t>Summe Honorar (Ausführung)</t>
  </si>
  <si>
    <t>Summe Honorar (Projektabschluss)</t>
  </si>
  <si>
    <t>Summe Honorar (Ausführungsvorb.)</t>
  </si>
  <si>
    <t>Verteilung der Stunden aus PEP</t>
  </si>
  <si>
    <t>∆</t>
  </si>
  <si>
    <t>Pos. 1</t>
  </si>
  <si>
    <t>Projektstart</t>
  </si>
  <si>
    <t>Pos. 2</t>
  </si>
  <si>
    <t>Pos. 3</t>
  </si>
  <si>
    <t>Pos. 4</t>
  </si>
  <si>
    <t>Einarbeitung in Projektunterlagen</t>
  </si>
  <si>
    <t>€/h</t>
  </si>
  <si>
    <t>x</t>
  </si>
  <si>
    <t>=</t>
  </si>
  <si>
    <t>€/Mo</t>
  </si>
  <si>
    <t>Stundensatz je Phase</t>
  </si>
  <si>
    <t>Stunden pro Monat je Phase</t>
  </si>
  <si>
    <t>Pauschale</t>
  </si>
  <si>
    <t>HONORARERMITTLUNG</t>
  </si>
  <si>
    <t>ÖBA PPH 4 Ausführung  *</t>
  </si>
  <si>
    <t>ÖBA PPH 5 Projektabschluss  *</t>
  </si>
  <si>
    <t>ÖBA PPH 3 Ausführungsvorbereitung  *</t>
  </si>
  <si>
    <t>* ÖBA Leistungsumfang lt. Leistungsbild</t>
  </si>
  <si>
    <t>Leistungsverzeichnis</t>
  </si>
  <si>
    <t>Allg. Beschreibung</t>
  </si>
  <si>
    <t>Leistungszeitraum ÖBA</t>
  </si>
  <si>
    <t>Euro</t>
  </si>
  <si>
    <t>m² BGF</t>
  </si>
  <si>
    <t>Kostenkennwert</t>
  </si>
  <si>
    <t>€/m² BGF</t>
  </si>
  <si>
    <t>DATEN für Diagramm</t>
  </si>
  <si>
    <t>EINGABE STUNDENSATZ</t>
  </si>
  <si>
    <t>Mittlerer Stundensatz</t>
  </si>
  <si>
    <t>Stundensatz Sekretariat</t>
  </si>
  <si>
    <t>Stundensatz Techniker</t>
  </si>
  <si>
    <t>Stundensatz ÖBA-Leiter</t>
  </si>
  <si>
    <r>
      <t xml:space="preserve">Summe Honorar aus der Stundenverteilung </t>
    </r>
    <r>
      <rPr>
        <sz val="9"/>
        <rFont val="Arial"/>
        <family val="2"/>
      </rPr>
      <t>(exkl. Pauschalen, Zuschläge/Nachlässe, MWSt)</t>
    </r>
  </si>
  <si>
    <r>
      <t>Summe Honorar aus dem Personaleinsatzplan</t>
    </r>
    <r>
      <rPr>
        <sz val="9"/>
        <rFont val="Arial"/>
        <family val="2"/>
      </rPr>
      <t xml:space="preserve"> (exkl. Pauschalen, Zuschläge/Nachlässe, MWSt)</t>
    </r>
  </si>
  <si>
    <t>PROJEKTANNAHMEN</t>
  </si>
  <si>
    <r>
      <t xml:space="preserve">Summe Honorar </t>
    </r>
    <r>
      <rPr>
        <sz val="9"/>
        <rFont val="Arial"/>
        <family val="2"/>
      </rPr>
      <t>(exkl. Pauschalen, MWSt)</t>
    </r>
  </si>
  <si>
    <t>AG 02</t>
  </si>
  <si>
    <t>privater Bauträger, 1 Projektleiter erfahren, technisch wenig versiert, viele Mieter</t>
  </si>
  <si>
    <t>komplexe Entscheidungsfindung bei kostenwirksamen Entscheidungen (interne Abklärung), hohe Änderungshäufigkeit</t>
  </si>
  <si>
    <t>durchschnittliche Projekterfahrung</t>
  </si>
  <si>
    <t>Bürohaus, ebenes Grundstück, Stahlbetonbau, Glas-Alu-Fassade</t>
  </si>
  <si>
    <t>typische Nutzung, mittlerer Standard (Bauträger), Klimatisierung, elektr. Sonnenschutz</t>
  </si>
  <si>
    <t>hoher Beratungsbedarf bei Nutzern, hoher Aufwand bei der Vorbereitung von Entscheidungen</t>
  </si>
  <si>
    <t>durchschnittlich</t>
  </si>
  <si>
    <t>mittleres Baugrundrisiko, Fassade am kritischen Weg</t>
  </si>
  <si>
    <t>Entfall von Mietern möglich, schlechte Zahlungsmoral des Bauträgers</t>
  </si>
  <si>
    <t>politisch unterstützt (Gemeinde: Neuansiedlung von Betrieben)</t>
  </si>
  <si>
    <t>Altlasten-Verdachtsflächen in unmittelbaren Umgebung</t>
  </si>
  <si>
    <t>geringes Zeitrisiko aus Behördenverfahren</t>
  </si>
  <si>
    <t>bereits stark optimierter Bauzeitplan, wenig Puffer eingebaut</t>
  </si>
  <si>
    <t>sehr enger Bauzeitterminplan, viele parallele Arbeiten</t>
  </si>
  <si>
    <t>Kostendeckel, Reserven berücksichtigt</t>
  </si>
  <si>
    <t>hoher Detaillierungsgrad, wenig Aktualisierungen</t>
  </si>
  <si>
    <t>ÖBA-Leiter</t>
  </si>
  <si>
    <t>Name1</t>
  </si>
  <si>
    <t>A4</t>
  </si>
  <si>
    <t>Techniker</t>
  </si>
  <si>
    <t>Name2</t>
  </si>
  <si>
    <t>A3</t>
  </si>
  <si>
    <t>Sekretariat</t>
  </si>
  <si>
    <t>Name3</t>
  </si>
  <si>
    <t>A2</t>
  </si>
  <si>
    <t>%-Zuschlag</t>
  </si>
  <si>
    <t>Mischwert  Stundensatz</t>
  </si>
  <si>
    <t xml:space="preserve">+ Gemeinkosten Personal (in % von Einzelkosten) </t>
  </si>
  <si>
    <t xml:space="preserve">  = Personalkosten</t>
  </si>
  <si>
    <t xml:space="preserve">+ Gemeinkosten Material (in % von Personalkosten) </t>
  </si>
  <si>
    <t xml:space="preserve">  = Selbstkosten Eigenleistung</t>
  </si>
  <si>
    <t xml:space="preserve">+ Zuschlag für Risiko  (in % von Selbstk. Eigenl.) </t>
  </si>
  <si>
    <t xml:space="preserve">+ Zuschlag für Gewinn  (in % von Selbstk. Eigenl.) </t>
  </si>
  <si>
    <t xml:space="preserve">  = Preis Eigenleistung pro Stunde</t>
  </si>
  <si>
    <t>%-Anteil</t>
  </si>
  <si>
    <t>€ / h</t>
  </si>
  <si>
    <t>Planungsleiter</t>
  </si>
  <si>
    <t>Mischstundensatz über Anteile</t>
  </si>
  <si>
    <t>Bürogebäude 3-stöckig, Salzburg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</si>
</sst>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,##0_ ;[Red]\-#,##0\ "/>
    <numFmt numFmtId="168" formatCode="#,##0.0_ ;[Red]\-#,##0.0\ "/>
    <numFmt numFmtId="169" formatCode="#,##0.00\ &quot;€&quot;"/>
    <numFmt numFmtId="170" formatCode="#,##0.0\ &quot;€&quot;"/>
    <numFmt numFmtId="171" formatCode="#,##0\ &quot;€&quot;"/>
    <numFmt numFmtId="172" formatCode="_-* #,##0.00\ [$€-407]_-;\-* #,##0.00\ [$€-407]_-;_-* &quot;-&quot;??\ [$€-407]_-;_-@_-"/>
    <numFmt numFmtId="173" formatCode="#,##0.00_ ;\-#,##0.00\ "/>
    <numFmt numFmtId="174" formatCode="&quot;€&quot;\ #,##0.00"/>
  </numFmts>
  <fonts count="24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name val="Calibri"/>
      <family val="2"/>
    </font>
    <font>
      <sz val="11"/>
      <name val="MS Reference Sans Serif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u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9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392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7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2" borderId="0" xfId="0" applyFont="1" applyFill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0" borderId="2" xfId="0" quotePrefix="1" applyFont="1" applyBorder="1" applyAlignment="1">
      <alignment vertical="center" wrapText="1"/>
    </xf>
    <xf numFmtId="0" fontId="2" fillId="0" borderId="0" xfId="0" applyFont="1" applyAlignment="1">
      <alignment vertical="center"/>
    </xf>
    <xf numFmtId="9" fontId="5" fillId="4" borderId="2" xfId="5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vertical="center" wrapText="1"/>
    </xf>
    <xf numFmtId="9" fontId="2" fillId="2" borderId="2" xfId="5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top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164" fontId="6" fillId="3" borderId="11" xfId="0" applyNumberFormat="1" applyFont="1" applyFill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9" fillId="0" borderId="2" xfId="0" applyFont="1" applyBorder="1"/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vertical="top" wrapText="1"/>
    </xf>
    <xf numFmtId="0" fontId="9" fillId="0" borderId="0" xfId="0" quotePrefix="1" applyFont="1"/>
    <xf numFmtId="0" fontId="15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0" xfId="0" applyFont="1" applyFill="1"/>
    <xf numFmtId="169" fontId="0" fillId="0" borderId="0" xfId="0" applyNumberFormat="1"/>
    <xf numFmtId="0" fontId="4" fillId="0" borderId="0" xfId="0" applyFont="1"/>
    <xf numFmtId="0" fontId="9" fillId="0" borderId="0" xfId="0" applyFont="1" applyBorder="1"/>
    <xf numFmtId="0" fontId="9" fillId="0" borderId="15" xfId="0" applyFont="1" applyBorder="1"/>
    <xf numFmtId="0" fontId="2" fillId="0" borderId="15" xfId="0" applyFont="1" applyBorder="1"/>
    <xf numFmtId="0" fontId="2" fillId="0" borderId="3" xfId="0" applyFont="1" applyBorder="1"/>
    <xf numFmtId="9" fontId="3" fillId="7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164" fontId="9" fillId="0" borderId="0" xfId="0" applyNumberFormat="1" applyFont="1"/>
    <xf numFmtId="164" fontId="0" fillId="0" borderId="0" xfId="0" applyNumberFormat="1"/>
    <xf numFmtId="0" fontId="15" fillId="6" borderId="3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9" fontId="13" fillId="2" borderId="0" xfId="5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left"/>
    </xf>
    <xf numFmtId="2" fontId="2" fillId="4" borderId="2" xfId="0" applyNumberFormat="1" applyFont="1" applyFill="1" applyBorder="1" applyAlignment="1">
      <alignment horizontal="center" vertical="center"/>
    </xf>
    <xf numFmtId="9" fontId="2" fillId="2" borderId="2" xfId="5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/>
    </xf>
    <xf numFmtId="0" fontId="6" fillId="0" borderId="19" xfId="0" applyFont="1" applyBorder="1"/>
    <xf numFmtId="171" fontId="3" fillId="9" borderId="2" xfId="0" applyNumberFormat="1" applyFont="1" applyFill="1" applyBorder="1" applyAlignment="1">
      <alignment vertical="center"/>
    </xf>
    <xf numFmtId="171" fontId="3" fillId="10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7" fillId="7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8" fillId="0" borderId="1" xfId="0" applyFont="1" applyBorder="1"/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69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69" fontId="7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170" fontId="3" fillId="0" borderId="15" xfId="0" applyNumberFormat="1" applyFont="1" applyBorder="1"/>
    <xf numFmtId="0" fontId="6" fillId="3" borderId="5" xfId="0" applyFont="1" applyFill="1" applyBorder="1" applyAlignment="1">
      <alignment horizontal="left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43" fontId="2" fillId="0" borderId="0" xfId="3" applyFont="1"/>
    <xf numFmtId="43" fontId="2" fillId="0" borderId="0" xfId="3" applyFont="1" applyAlignment="1">
      <alignment vertical="center"/>
    </xf>
    <xf numFmtId="171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1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1" fontId="5" fillId="0" borderId="0" xfId="0" applyNumberFormat="1" applyFont="1" applyBorder="1" applyAlignment="1">
      <alignment vertical="center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171" fontId="13" fillId="0" borderId="0" xfId="3" applyNumberFormat="1" applyFont="1" applyFill="1" applyBorder="1" applyAlignment="1">
      <alignment horizontal="right" vertical="center"/>
    </xf>
    <xf numFmtId="171" fontId="5" fillId="0" borderId="0" xfId="3" applyNumberFormat="1" applyFont="1" applyFill="1" applyAlignment="1">
      <alignment vertical="center"/>
    </xf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/>
    <xf numFmtId="164" fontId="2" fillId="0" borderId="19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11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2" fontId="19" fillId="12" borderId="5" xfId="0" applyNumberFormat="1" applyFont="1" applyFill="1" applyBorder="1" applyAlignment="1">
      <alignment horizontal="right"/>
    </xf>
    <xf numFmtId="0" fontId="6" fillId="12" borderId="6" xfId="0" applyFont="1" applyFill="1" applyBorder="1"/>
    <xf numFmtId="1" fontId="3" fillId="9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1" fillId="0" borderId="0" xfId="0" applyFont="1" applyBorder="1" applyAlignment="1">
      <alignment vertical="center" wrapText="1"/>
    </xf>
    <xf numFmtId="0" fontId="2" fillId="0" borderId="10" xfId="0" applyFont="1" applyBorder="1"/>
    <xf numFmtId="0" fontId="2" fillId="0" borderId="0" xfId="0" applyFont="1" applyBorder="1" applyAlignment="1">
      <alignment horizontal="center" vertical="center"/>
    </xf>
    <xf numFmtId="0" fontId="18" fillId="0" borderId="0" xfId="0" applyFont="1" applyBorder="1"/>
    <xf numFmtId="170" fontId="3" fillId="0" borderId="0" xfId="0" applyNumberFormat="1" applyFont="1" applyBorder="1"/>
    <xf numFmtId="169" fontId="18" fillId="0" borderId="0" xfId="0" applyNumberFormat="1" applyFont="1" applyBorder="1"/>
    <xf numFmtId="165" fontId="3" fillId="0" borderId="0" xfId="0" applyNumberFormat="1" applyFont="1" applyBorder="1"/>
    <xf numFmtId="170" fontId="3" fillId="0" borderId="1" xfId="0" applyNumberFormat="1" applyFont="1" applyBorder="1"/>
    <xf numFmtId="165" fontId="3" fillId="0" borderId="15" xfId="0" applyNumberFormat="1" applyFont="1" applyBorder="1"/>
    <xf numFmtId="170" fontId="3" fillId="0" borderId="3" xfId="0" applyNumberFormat="1" applyFont="1" applyBorder="1"/>
    <xf numFmtId="0" fontId="9" fillId="0" borderId="3" xfId="0" applyFont="1" applyBorder="1"/>
    <xf numFmtId="43" fontId="2" fillId="0" borderId="10" xfId="3" applyFont="1" applyBorder="1"/>
    <xf numFmtId="0" fontId="2" fillId="0" borderId="0" xfId="0" applyFont="1" applyAlignment="1">
      <alignment horizontal="center"/>
    </xf>
    <xf numFmtId="164" fontId="2" fillId="0" borderId="10" xfId="0" applyNumberFormat="1" applyFont="1" applyBorder="1"/>
    <xf numFmtId="172" fontId="2" fillId="0" borderId="0" xfId="0" applyNumberFormat="1" applyFont="1"/>
    <xf numFmtId="172" fontId="5" fillId="0" borderId="0" xfId="0" applyNumberFormat="1" applyFont="1" applyAlignment="1">
      <alignment vertical="center"/>
    </xf>
    <xf numFmtId="0" fontId="2" fillId="0" borderId="1" xfId="0" quotePrefix="1" applyFont="1" applyBorder="1"/>
    <xf numFmtId="0" fontId="13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/>
    <xf numFmtId="9" fontId="2" fillId="7" borderId="2" xfId="5" applyFont="1" applyFill="1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9" fontId="2" fillId="7" borderId="2" xfId="0" applyNumberFormat="1" applyFont="1" applyFill="1" applyBorder="1" applyAlignment="1">
      <alignment vertical="center"/>
    </xf>
    <xf numFmtId="0" fontId="13" fillId="0" borderId="26" xfId="0" applyFont="1" applyBorder="1" applyAlignment="1">
      <alignment horizontal="center"/>
    </xf>
    <xf numFmtId="172" fontId="13" fillId="0" borderId="2" xfId="0" applyNumberFormat="1" applyFont="1" applyBorder="1" applyAlignment="1">
      <alignment vertical="center"/>
    </xf>
    <xf numFmtId="172" fontId="2" fillId="0" borderId="2" xfId="0" applyNumberFormat="1" applyFont="1" applyBorder="1"/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3" fillId="0" borderId="3" xfId="0" applyFont="1" applyBorder="1"/>
    <xf numFmtId="0" fontId="5" fillId="0" borderId="0" xfId="0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>
      <alignment horizontal="center" vertical="center"/>
    </xf>
    <xf numFmtId="170" fontId="3" fillId="0" borderId="0" xfId="0" applyNumberFormat="1" applyFont="1" applyFill="1" applyBorder="1"/>
    <xf numFmtId="0" fontId="7" fillId="0" borderId="19" xfId="0" applyFont="1" applyFill="1" applyBorder="1" applyAlignment="1">
      <alignment horizontal="center" vertical="center"/>
    </xf>
    <xf numFmtId="9" fontId="3" fillId="0" borderId="19" xfId="0" applyNumberFormat="1" applyFont="1" applyFill="1" applyBorder="1" applyAlignment="1">
      <alignment vertical="center"/>
    </xf>
    <xf numFmtId="1" fontId="3" fillId="0" borderId="19" xfId="0" applyNumberFormat="1" applyFont="1" applyFill="1" applyBorder="1" applyAlignment="1">
      <alignment vertical="center"/>
    </xf>
    <xf numFmtId="0" fontId="5" fillId="2" borderId="27" xfId="0" applyNumberFormat="1" applyFont="1" applyFill="1" applyBorder="1" applyAlignment="1" applyProtection="1">
      <alignment horizontal="left"/>
    </xf>
    <xf numFmtId="2" fontId="6" fillId="0" borderId="0" xfId="0" applyNumberFormat="1" applyFont="1" applyFill="1" applyBorder="1" applyAlignment="1">
      <alignment horizontal="left"/>
    </xf>
    <xf numFmtId="172" fontId="13" fillId="0" borderId="2" xfId="0" applyNumberFormat="1" applyFont="1" applyBorder="1" applyAlignment="1">
      <alignment horizontal="right" vertical="center"/>
    </xf>
    <xf numFmtId="172" fontId="2" fillId="0" borderId="0" xfId="3" applyNumberFormat="1" applyFont="1" applyBorder="1" applyAlignment="1">
      <alignment horizontal="right" vertical="center"/>
    </xf>
    <xf numFmtId="172" fontId="2" fillId="0" borderId="2" xfId="3" applyNumberFormat="1" applyFont="1" applyBorder="1" applyAlignment="1">
      <alignment horizontal="right" vertical="center"/>
    </xf>
    <xf numFmtId="0" fontId="0" fillId="7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3" fontId="0" fillId="0" borderId="2" xfId="0" applyNumberFormat="1" applyFill="1" applyBorder="1" applyAlignment="1">
      <alignment vertical="center"/>
    </xf>
    <xf numFmtId="168" fontId="6" fillId="13" borderId="18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 wrapText="1"/>
    </xf>
    <xf numFmtId="9" fontId="5" fillId="7" borderId="2" xfId="5" applyFont="1" applyFill="1" applyBorder="1" applyAlignment="1">
      <alignment horizontal="center" vertical="center" wrapText="1"/>
    </xf>
    <xf numFmtId="9" fontId="5" fillId="7" borderId="10" xfId="5" applyFont="1" applyFill="1" applyBorder="1" applyAlignment="1">
      <alignment horizontal="center" vertical="center" wrapText="1"/>
    </xf>
    <xf numFmtId="2" fontId="10" fillId="13" borderId="18" xfId="0" applyNumberFormat="1" applyFont="1" applyFill="1" applyBorder="1" applyAlignment="1">
      <alignment horizontal="center"/>
    </xf>
    <xf numFmtId="0" fontId="6" fillId="14" borderId="0" xfId="0" applyFont="1" applyFill="1" applyAlignment="1">
      <alignment vertical="top"/>
    </xf>
    <xf numFmtId="0" fontId="9" fillId="14" borderId="18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68" fontId="4" fillId="9" borderId="2" xfId="0" applyNumberFormat="1" applyFont="1" applyFill="1" applyBorder="1" applyAlignment="1">
      <alignment horizontal="center" vertical="top" wrapText="1"/>
    </xf>
    <xf numFmtId="168" fontId="4" fillId="4" borderId="3" xfId="0" applyNumberFormat="1" applyFont="1" applyFill="1" applyBorder="1" applyAlignment="1">
      <alignment horizontal="center" vertical="top" wrapText="1"/>
    </xf>
    <xf numFmtId="0" fontId="9" fillId="4" borderId="28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166" fontId="22" fillId="0" borderId="0" xfId="5" applyNumberFormat="1" applyFont="1" applyBorder="1" applyAlignment="1">
      <alignment vertical="center" wrapText="1"/>
    </xf>
    <xf numFmtId="164" fontId="6" fillId="14" borderId="11" xfId="0" applyNumberFormat="1" applyFont="1" applyFill="1" applyBorder="1" applyAlignment="1">
      <alignment horizontal="center"/>
    </xf>
    <xf numFmtId="0" fontId="6" fillId="15" borderId="11" xfId="0" applyFont="1" applyFill="1" applyBorder="1"/>
    <xf numFmtId="171" fontId="5" fillId="16" borderId="2" xfId="3" applyNumberFormat="1" applyFont="1" applyFill="1" applyBorder="1" applyAlignment="1">
      <alignment vertical="center"/>
    </xf>
    <xf numFmtId="171" fontId="13" fillId="16" borderId="2" xfId="3" applyNumberFormat="1" applyFont="1" applyFill="1" applyBorder="1" applyAlignment="1">
      <alignment horizontal="right" vertical="center"/>
    </xf>
    <xf numFmtId="171" fontId="5" fillId="13" borderId="2" xfId="0" applyNumberFormat="1" applyFont="1" applyFill="1" applyBorder="1" applyAlignment="1">
      <alignment vertical="center"/>
    </xf>
    <xf numFmtId="171" fontId="2" fillId="13" borderId="2" xfId="0" applyNumberFormat="1" applyFont="1" applyFill="1" applyBorder="1" applyAlignment="1">
      <alignment vertical="center"/>
    </xf>
    <xf numFmtId="171" fontId="13" fillId="2" borderId="2" xfId="3" applyNumberFormat="1" applyFont="1" applyFill="1" applyBorder="1" applyAlignment="1">
      <alignment horizontal="right" vertical="center"/>
    </xf>
    <xf numFmtId="171" fontId="5" fillId="2" borderId="2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center" vertical="center"/>
    </xf>
    <xf numFmtId="9" fontId="13" fillId="2" borderId="2" xfId="5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left"/>
    </xf>
    <xf numFmtId="2" fontId="6" fillId="7" borderId="15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2" fillId="9" borderId="0" xfId="0" applyFont="1" applyFill="1" applyAlignment="1">
      <alignment vertical="center"/>
    </xf>
    <xf numFmtId="171" fontId="2" fillId="9" borderId="0" xfId="0" applyNumberFormat="1" applyFont="1" applyFill="1" applyAlignment="1">
      <alignment vertical="center"/>
    </xf>
    <xf numFmtId="0" fontId="2" fillId="9" borderId="27" xfId="0" applyFont="1" applyFill="1" applyBorder="1" applyAlignment="1">
      <alignment vertical="center"/>
    </xf>
    <xf numFmtId="171" fontId="2" fillId="9" borderId="27" xfId="0" applyNumberFormat="1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171" fontId="5" fillId="9" borderId="0" xfId="0" applyNumberFormat="1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5" fillId="13" borderId="1" xfId="0" applyFont="1" applyFill="1" applyBorder="1"/>
    <xf numFmtId="0" fontId="5" fillId="13" borderId="15" xfId="0" applyFont="1" applyFill="1" applyBorder="1"/>
    <xf numFmtId="0" fontId="5" fillId="13" borderId="3" xfId="0" applyFont="1" applyFill="1" applyBorder="1"/>
    <xf numFmtId="172" fontId="5" fillId="13" borderId="2" xfId="0" applyNumberFormat="1" applyFont="1" applyFill="1" applyBorder="1" applyAlignment="1">
      <alignment vertical="center"/>
    </xf>
    <xf numFmtId="0" fontId="2" fillId="13" borderId="15" xfId="0" applyFont="1" applyFill="1" applyBorder="1"/>
    <xf numFmtId="0" fontId="2" fillId="13" borderId="3" xfId="0" applyFont="1" applyFill="1" applyBorder="1"/>
    <xf numFmtId="0" fontId="2" fillId="14" borderId="10" xfId="0" applyFont="1" applyFill="1" applyBorder="1"/>
    <xf numFmtId="164" fontId="2" fillId="14" borderId="10" xfId="0" applyNumberFormat="1" applyFont="1" applyFill="1" applyBorder="1"/>
    <xf numFmtId="0" fontId="2" fillId="14" borderId="1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left" vertical="top" wrapText="1"/>
    </xf>
    <xf numFmtId="0" fontId="4" fillId="17" borderId="0" xfId="0" applyFont="1" applyFill="1"/>
    <xf numFmtId="0" fontId="0" fillId="17" borderId="0" xfId="0" applyFill="1"/>
    <xf numFmtId="0" fontId="0" fillId="17" borderId="2" xfId="0" applyFill="1" applyBorder="1"/>
    <xf numFmtId="9" fontId="0" fillId="17" borderId="2" xfId="0" applyNumberFormat="1" applyFill="1" applyBorder="1"/>
    <xf numFmtId="0" fontId="9" fillId="17" borderId="0" xfId="0" applyFont="1" applyFill="1"/>
    <xf numFmtId="170" fontId="0" fillId="17" borderId="0" xfId="0" applyNumberFormat="1" applyFill="1"/>
    <xf numFmtId="169" fontId="0" fillId="0" borderId="0" xfId="0" applyNumberFormat="1" applyFill="1" applyBorder="1"/>
    <xf numFmtId="0" fontId="10" fillId="0" borderId="0" xfId="7" applyFont="1"/>
    <xf numFmtId="0" fontId="9" fillId="0" borderId="0" xfId="7"/>
    <xf numFmtId="0" fontId="9" fillId="0" borderId="2" xfId="7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9" fillId="0" borderId="2" xfId="7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9" fontId="7" fillId="0" borderId="0" xfId="0" applyNumberFormat="1" applyFont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3" fontId="4" fillId="7" borderId="2" xfId="3" applyNumberFormat="1" applyFont="1" applyFill="1" applyBorder="1" applyAlignment="1">
      <alignment horizontal="left" vertical="center"/>
    </xf>
    <xf numFmtId="43" fontId="4" fillId="7" borderId="2" xfId="4" applyNumberFormat="1" applyFont="1" applyFill="1" applyBorder="1" applyAlignment="1">
      <alignment horizontal="left" vertical="center"/>
    </xf>
    <xf numFmtId="2" fontId="6" fillId="4" borderId="2" xfId="0" applyNumberFormat="1" applyFont="1" applyFill="1" applyBorder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9" fontId="0" fillId="0" borderId="30" xfId="0" applyNumberFormat="1" applyFill="1" applyBorder="1" applyAlignment="1">
      <alignment horizontal="center"/>
    </xf>
    <xf numFmtId="174" fontId="4" fillId="14" borderId="31" xfId="0" applyNumberFormat="1" applyFont="1" applyFill="1" applyBorder="1" applyAlignment="1">
      <alignment horizontal="center"/>
    </xf>
    <xf numFmtId="0" fontId="0" fillId="0" borderId="27" xfId="0" quotePrefix="1" applyFill="1" applyBorder="1"/>
    <xf numFmtId="0" fontId="0" fillId="0" borderId="27" xfId="0" applyFill="1" applyBorder="1"/>
    <xf numFmtId="9" fontId="0" fillId="4" borderId="47" xfId="0" applyNumberFormat="1" applyFill="1" applyBorder="1" applyAlignment="1">
      <alignment horizontal="center"/>
    </xf>
    <xf numFmtId="174" fontId="0" fillId="0" borderId="27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74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9" fontId="0" fillId="4" borderId="19" xfId="0" applyNumberFormat="1" applyFill="1" applyBorder="1" applyAlignment="1">
      <alignment horizontal="center"/>
    </xf>
    <xf numFmtId="174" fontId="0" fillId="0" borderId="0" xfId="0" applyNumberFormat="1" applyFill="1" applyBorder="1" applyAlignment="1">
      <alignment horizontal="center"/>
    </xf>
    <xf numFmtId="0" fontId="0" fillId="0" borderId="30" xfId="0" applyFill="1" applyBorder="1"/>
    <xf numFmtId="0" fontId="0" fillId="0" borderId="0" xfId="0" applyFill="1" applyAlignment="1">
      <alignment horizontal="center"/>
    </xf>
    <xf numFmtId="0" fontId="4" fillId="0" borderId="0" xfId="0" applyFont="1" applyFill="1"/>
    <xf numFmtId="0" fontId="0" fillId="0" borderId="47" xfId="0" applyFill="1" applyBorder="1"/>
    <xf numFmtId="174" fontId="6" fillId="13" borderId="18" xfId="0" applyNumberFormat="1" applyFont="1" applyFill="1" applyBorder="1" applyAlignment="1">
      <alignment horizontal="center"/>
    </xf>
    <xf numFmtId="169" fontId="0" fillId="0" borderId="0" xfId="0" applyNumberFormat="1" applyFill="1"/>
    <xf numFmtId="0" fontId="23" fillId="0" borderId="0" xfId="0" applyFont="1" applyFill="1"/>
    <xf numFmtId="0" fontId="9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9" fillId="0" borderId="0" xfId="0" applyFont="1" applyFill="1"/>
    <xf numFmtId="9" fontId="0" fillId="4" borderId="2" xfId="0" applyNumberFormat="1" applyFill="1" applyBorder="1" applyAlignment="1">
      <alignment horizontal="center"/>
    </xf>
    <xf numFmtId="174" fontId="0" fillId="14" borderId="2" xfId="0" applyNumberFormat="1" applyFill="1" applyBorder="1" applyAlignment="1">
      <alignment horizontal="center"/>
    </xf>
    <xf numFmtId="0" fontId="0" fillId="0" borderId="27" xfId="0" applyFill="1" applyBorder="1" applyAlignment="1">
      <alignment horizontal="left" indent="1"/>
    </xf>
    <xf numFmtId="9" fontId="0" fillId="0" borderId="0" xfId="0" applyNumberFormat="1" applyFill="1" applyAlignment="1">
      <alignment horizontal="center"/>
    </xf>
    <xf numFmtId="174" fontId="4" fillId="0" borderId="0" xfId="0" applyNumberFormat="1" applyFont="1" applyFill="1" applyAlignment="1">
      <alignment horizontal="center"/>
    </xf>
    <xf numFmtId="0" fontId="5" fillId="2" borderId="29" xfId="0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6" fillId="7" borderId="15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15" fillId="0" borderId="27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vertical="center"/>
    </xf>
    <xf numFmtId="0" fontId="3" fillId="0" borderId="15" xfId="0" applyFont="1" applyBorder="1"/>
    <xf numFmtId="0" fontId="3" fillId="0" borderId="3" xfId="0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right" vertical="center"/>
    </xf>
    <xf numFmtId="0" fontId="5" fillId="14" borderId="2" xfId="0" applyNumberFormat="1" applyFont="1" applyFill="1" applyBorder="1" applyAlignment="1" applyProtection="1">
      <alignment horizontal="left"/>
    </xf>
    <xf numFmtId="2" fontId="2" fillId="5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4" fillId="11" borderId="41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0" fontId="9" fillId="11" borderId="31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9" fillId="11" borderId="45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1" borderId="46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5" fillId="14" borderId="30" xfId="0" applyNumberFormat="1" applyFont="1" applyFill="1" applyBorder="1" applyAlignment="1" applyProtection="1">
      <alignment horizontal="left"/>
    </xf>
    <xf numFmtId="0" fontId="5" fillId="14" borderId="31" xfId="0" applyNumberFormat="1" applyFont="1" applyFill="1" applyBorder="1" applyAlignment="1" applyProtection="1">
      <alignment horizontal="left"/>
    </xf>
    <xf numFmtId="0" fontId="5" fillId="14" borderId="32" xfId="0" applyNumberFormat="1" applyFont="1" applyFill="1" applyBorder="1" applyAlignment="1" applyProtection="1">
      <alignment horizontal="left"/>
    </xf>
    <xf numFmtId="0" fontId="5" fillId="14" borderId="1" xfId="0" applyNumberFormat="1" applyFont="1" applyFill="1" applyBorder="1" applyAlignment="1" applyProtection="1">
      <alignment horizontal="left"/>
    </xf>
    <xf numFmtId="0" fontId="5" fillId="14" borderId="15" xfId="0" applyNumberFormat="1" applyFont="1" applyFill="1" applyBorder="1" applyAlignment="1" applyProtection="1">
      <alignment horizontal="left"/>
    </xf>
    <xf numFmtId="0" fontId="5" fillId="14" borderId="3" xfId="0" applyNumberFormat="1" applyFont="1" applyFill="1" applyBorder="1" applyAlignment="1" applyProtection="1">
      <alignment horizontal="left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172" fontId="2" fillId="0" borderId="26" xfId="3" applyNumberFormat="1" applyFont="1" applyBorder="1" applyAlignment="1">
      <alignment horizontal="right" vertical="center"/>
    </xf>
    <xf numFmtId="172" fontId="2" fillId="0" borderId="10" xfId="3" applyNumberFormat="1" applyFont="1" applyBorder="1" applyAlignment="1">
      <alignment horizontal="right" vertical="center"/>
    </xf>
  </cellXfs>
  <cellStyles count="8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 2" xfId="7" xr:uid="{00000000-0005-0000-0000-000007000000}"/>
  </cellStyles>
  <dxfs count="1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  <c:pt idx="0">
                  <c:v>Sekretariat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Personaleinsatzplan!$F$17:$U$17</c:f>
              <c:numCache>
                <c:formatCode>#\ ##0\ "€"</c:formatCode>
                <c:ptCount val="16"/>
                <c:pt idx="0">
                  <c:v>371.21059555019997</c:v>
                </c:pt>
                <c:pt idx="1">
                  <c:v>371.21059555019997</c:v>
                </c:pt>
                <c:pt idx="2">
                  <c:v>371.21059555019997</c:v>
                </c:pt>
                <c:pt idx="3">
                  <c:v>371.21059555019997</c:v>
                </c:pt>
                <c:pt idx="4">
                  <c:v>371.21059555019997</c:v>
                </c:pt>
                <c:pt idx="5">
                  <c:v>371.21059555019997</c:v>
                </c:pt>
                <c:pt idx="6">
                  <c:v>371.21059555019997</c:v>
                </c:pt>
                <c:pt idx="7">
                  <c:v>371.21059555019997</c:v>
                </c:pt>
                <c:pt idx="8">
                  <c:v>371.21059555019997</c:v>
                </c:pt>
                <c:pt idx="9">
                  <c:v>371.21059555019997</c:v>
                </c:pt>
                <c:pt idx="10">
                  <c:v>371.21059555019997</c:v>
                </c:pt>
                <c:pt idx="11">
                  <c:v>371.21059555019997</c:v>
                </c:pt>
                <c:pt idx="12">
                  <c:v>371.21059555019997</c:v>
                </c:pt>
                <c:pt idx="13">
                  <c:v>371.21059555019997</c:v>
                </c:pt>
                <c:pt idx="14">
                  <c:v>371.21059555019997</c:v>
                </c:pt>
                <c:pt idx="15">
                  <c:v>371.21059555019997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1-404A-9C95-9DE0A74ED0CB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  <c:pt idx="0">
                  <c:v>Techniker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Personaleinsatzplan!$F$14:$U$14</c:f>
              <c:numCache>
                <c:formatCode>#\ ##0\ "€"</c:formatCode>
                <c:ptCount val="16"/>
                <c:pt idx="0">
                  <c:v>6363.6102094319995</c:v>
                </c:pt>
                <c:pt idx="1">
                  <c:v>6363.6102094319995</c:v>
                </c:pt>
                <c:pt idx="2">
                  <c:v>6363.6102094319995</c:v>
                </c:pt>
                <c:pt idx="3">
                  <c:v>12727.220418863999</c:v>
                </c:pt>
                <c:pt idx="4">
                  <c:v>12727.220418863999</c:v>
                </c:pt>
                <c:pt idx="5">
                  <c:v>12727.220418863999</c:v>
                </c:pt>
                <c:pt idx="6">
                  <c:v>12727.220418863999</c:v>
                </c:pt>
                <c:pt idx="7">
                  <c:v>12727.220418863999</c:v>
                </c:pt>
                <c:pt idx="8">
                  <c:v>12727.220418863999</c:v>
                </c:pt>
                <c:pt idx="9">
                  <c:v>19090.830628296</c:v>
                </c:pt>
                <c:pt idx="10">
                  <c:v>19090.830628296</c:v>
                </c:pt>
                <c:pt idx="11">
                  <c:v>19090.830628296</c:v>
                </c:pt>
                <c:pt idx="12">
                  <c:v>19090.830628296</c:v>
                </c:pt>
                <c:pt idx="13">
                  <c:v>19090.830628296</c:v>
                </c:pt>
                <c:pt idx="14">
                  <c:v>12727.220418863999</c:v>
                </c:pt>
                <c:pt idx="15">
                  <c:v>12727.220418863999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1-404A-9C95-9DE0A74ED0CB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ÖBA-Leiter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Personaleinsatzplan!$F$11:$U$11</c:f>
              <c:numCache>
                <c:formatCode>#\ ##0\ "€"</c:formatCode>
                <c:ptCount val="16"/>
                <c:pt idx="0">
                  <c:v>7689.362336397</c:v>
                </c:pt>
                <c:pt idx="1">
                  <c:v>7689.362336397</c:v>
                </c:pt>
                <c:pt idx="2">
                  <c:v>7689.362336397</c:v>
                </c:pt>
                <c:pt idx="3">
                  <c:v>15378.724672794</c:v>
                </c:pt>
                <c:pt idx="4">
                  <c:v>15378.724672794</c:v>
                </c:pt>
                <c:pt idx="5">
                  <c:v>15378.724672794</c:v>
                </c:pt>
                <c:pt idx="6">
                  <c:v>15378.724672794</c:v>
                </c:pt>
                <c:pt idx="7">
                  <c:v>15378.724672794</c:v>
                </c:pt>
                <c:pt idx="8">
                  <c:v>15378.724672794</c:v>
                </c:pt>
                <c:pt idx="9">
                  <c:v>15378.724672794</c:v>
                </c:pt>
                <c:pt idx="10">
                  <c:v>15378.724672794</c:v>
                </c:pt>
                <c:pt idx="11">
                  <c:v>15378.724672794</c:v>
                </c:pt>
                <c:pt idx="12">
                  <c:v>15378.724672794</c:v>
                </c:pt>
                <c:pt idx="13">
                  <c:v>15378.724672794</c:v>
                </c:pt>
                <c:pt idx="14">
                  <c:v>11534.0435045955</c:v>
                </c:pt>
                <c:pt idx="15">
                  <c:v>11534.0435045955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1-404A-9C95-9DE0A74E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359178840"/>
        <c:axId val="1"/>
      </c:barChart>
      <c:catAx>
        <c:axId val="359178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9178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  <c:pt idx="0">
                  <c:v>Sekretariat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Personaleinsatzplan!$F$16:$U$16</c:f>
              <c:numCache>
                <c:formatCode>0</c:formatCode>
                <c:ptCount val="16"/>
                <c:pt idx="0">
                  <c:v>6.9962499999999999</c:v>
                </c:pt>
                <c:pt idx="1">
                  <c:v>6.9962499999999999</c:v>
                </c:pt>
                <c:pt idx="2">
                  <c:v>6.9962499999999999</c:v>
                </c:pt>
                <c:pt idx="3">
                  <c:v>6.9962499999999999</c:v>
                </c:pt>
                <c:pt idx="4">
                  <c:v>6.9962499999999999</c:v>
                </c:pt>
                <c:pt idx="5">
                  <c:v>6.9962499999999999</c:v>
                </c:pt>
                <c:pt idx="6">
                  <c:v>6.9962499999999999</c:v>
                </c:pt>
                <c:pt idx="7">
                  <c:v>6.9962499999999999</c:v>
                </c:pt>
                <c:pt idx="8">
                  <c:v>6.9962499999999999</c:v>
                </c:pt>
                <c:pt idx="9">
                  <c:v>6.9962499999999999</c:v>
                </c:pt>
                <c:pt idx="10">
                  <c:v>6.9962499999999999</c:v>
                </c:pt>
                <c:pt idx="11">
                  <c:v>6.9962499999999999</c:v>
                </c:pt>
                <c:pt idx="12">
                  <c:v>6.9962499999999999</c:v>
                </c:pt>
                <c:pt idx="13">
                  <c:v>6.9962499999999999</c:v>
                </c:pt>
                <c:pt idx="14">
                  <c:v>6.9962499999999999</c:v>
                </c:pt>
                <c:pt idx="15">
                  <c:v>6.9962499999999999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7-4189-9FB3-F1AE383BB0EA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  <c:pt idx="0">
                  <c:v>Techniker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Personaleinsatzplan!$F$13:$U$13</c:f>
              <c:numCache>
                <c:formatCode>0</c:formatCode>
                <c:ptCount val="16"/>
                <c:pt idx="0">
                  <c:v>69.962499999999991</c:v>
                </c:pt>
                <c:pt idx="1">
                  <c:v>69.962499999999991</c:v>
                </c:pt>
                <c:pt idx="2">
                  <c:v>69.962499999999991</c:v>
                </c:pt>
                <c:pt idx="3">
                  <c:v>139.92499999999998</c:v>
                </c:pt>
                <c:pt idx="4">
                  <c:v>139.92499999999998</c:v>
                </c:pt>
                <c:pt idx="5">
                  <c:v>139.92499999999998</c:v>
                </c:pt>
                <c:pt idx="6">
                  <c:v>139.92499999999998</c:v>
                </c:pt>
                <c:pt idx="7">
                  <c:v>139.92499999999998</c:v>
                </c:pt>
                <c:pt idx="8">
                  <c:v>139.92499999999998</c:v>
                </c:pt>
                <c:pt idx="9">
                  <c:v>209.88749999999999</c:v>
                </c:pt>
                <c:pt idx="10">
                  <c:v>209.88749999999999</c:v>
                </c:pt>
                <c:pt idx="11">
                  <c:v>209.88749999999999</c:v>
                </c:pt>
                <c:pt idx="12">
                  <c:v>209.88749999999999</c:v>
                </c:pt>
                <c:pt idx="13">
                  <c:v>209.88749999999999</c:v>
                </c:pt>
                <c:pt idx="14">
                  <c:v>139.92499999999998</c:v>
                </c:pt>
                <c:pt idx="15">
                  <c:v>139.92499999999998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7-4189-9FB3-F1AE383BB0EA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ÖBA-Leiter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Personaleinsatzplan!$F$10:$U$10</c:f>
              <c:numCache>
                <c:formatCode>0</c:formatCode>
                <c:ptCount val="16"/>
                <c:pt idx="0">
                  <c:v>69.962499999999991</c:v>
                </c:pt>
                <c:pt idx="1">
                  <c:v>69.962499999999991</c:v>
                </c:pt>
                <c:pt idx="2">
                  <c:v>69.962499999999991</c:v>
                </c:pt>
                <c:pt idx="3">
                  <c:v>139.92499999999998</c:v>
                </c:pt>
                <c:pt idx="4">
                  <c:v>139.92499999999998</c:v>
                </c:pt>
                <c:pt idx="5">
                  <c:v>139.92499999999998</c:v>
                </c:pt>
                <c:pt idx="6">
                  <c:v>139.92499999999998</c:v>
                </c:pt>
                <c:pt idx="7">
                  <c:v>139.92499999999998</c:v>
                </c:pt>
                <c:pt idx="8">
                  <c:v>139.92499999999998</c:v>
                </c:pt>
                <c:pt idx="9">
                  <c:v>139.92499999999998</c:v>
                </c:pt>
                <c:pt idx="10">
                  <c:v>139.92499999999998</c:v>
                </c:pt>
                <c:pt idx="11">
                  <c:v>139.92499999999998</c:v>
                </c:pt>
                <c:pt idx="12">
                  <c:v>139.92499999999998</c:v>
                </c:pt>
                <c:pt idx="13">
                  <c:v>139.92499999999998</c:v>
                </c:pt>
                <c:pt idx="14">
                  <c:v>104.94374999999999</c:v>
                </c:pt>
                <c:pt idx="15">
                  <c:v>104.94374999999999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7-4189-9FB3-F1AE383B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59178184"/>
        <c:axId val="1"/>
      </c:barChart>
      <c:catAx>
        <c:axId val="359178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9178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Personaleinsatzplan!$A$9</c:f>
              <c:strCache>
                <c:ptCount val="1"/>
                <c:pt idx="0">
                  <c:v>ÖBA-Leiter</c:v>
                </c:pt>
              </c:strCache>
            </c:strRef>
          </c:tx>
          <c:marker>
            <c:symbol val="none"/>
          </c:marker>
          <c:xVal>
            <c:numRef>
              <c:f>Personaleinsatzplan!$Z$28:$BE$28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16</c:v>
                </c:pt>
              </c:numCache>
            </c:numRef>
          </c:xVal>
          <c:yVal>
            <c:numRef>
              <c:f>Personaleinsatzplan!$Z$29:$BE$29</c:f>
              <c:numCache>
                <c:formatCode>0%</c:formatCode>
                <c:ptCount val="3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E9-4EC0-ADF7-FF7016B8A3AB}"/>
            </c:ext>
          </c:extLst>
        </c:ser>
        <c:ser>
          <c:idx val="1"/>
          <c:order val="1"/>
          <c:tx>
            <c:strRef>
              <c:f>Personaleinsatzplan!$A$12</c:f>
              <c:strCache>
                <c:ptCount val="1"/>
                <c:pt idx="0">
                  <c:v>Techniker</c:v>
                </c:pt>
              </c:strCache>
            </c:strRef>
          </c:tx>
          <c:marker>
            <c:symbol val="none"/>
          </c:marker>
          <c:xVal>
            <c:numRef>
              <c:f>Personaleinsatzplan!$Z$28:$BE$28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16</c:v>
                </c:pt>
              </c:numCache>
            </c:numRef>
          </c:xVal>
          <c:yVal>
            <c:numRef>
              <c:f>Personaleinsatzplan!$Z$30:$BE$30</c:f>
              <c:numCache>
                <c:formatCode>0%</c:formatCode>
                <c:ptCount val="3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E9-4EC0-ADF7-FF7016B8A3AB}"/>
            </c:ext>
          </c:extLst>
        </c:ser>
        <c:ser>
          <c:idx val="0"/>
          <c:order val="2"/>
          <c:tx>
            <c:strRef>
              <c:f>Personaleinsatzplan!$A$15</c:f>
              <c:strCache>
                <c:ptCount val="1"/>
                <c:pt idx="0">
                  <c:v>Sekretariat</c:v>
                </c:pt>
              </c:strCache>
            </c:strRef>
          </c:tx>
          <c:marker>
            <c:symbol val="none"/>
          </c:marker>
          <c:xVal>
            <c:numRef>
              <c:f>Personaleinsatzplan!$Z$28:$BE$28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16</c:v>
                </c:pt>
              </c:numCache>
            </c:numRef>
          </c:xVal>
          <c:yVal>
            <c:numRef>
              <c:f>Personaleinsatzplan!$Z$31:$BE$31</c:f>
              <c:numCache>
                <c:formatCode>0%</c:formatCode>
                <c:ptCount val="3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E9-4EC0-ADF7-FF7016B8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645776"/>
        <c:axId val="1"/>
      </c:scatterChart>
      <c:valAx>
        <c:axId val="363645776"/>
        <c:scaling>
          <c:orientation val="minMax"/>
          <c:max val="16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1.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36457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  <c:pt idx="0">
                  <c:v>ÖBA-Leiter</c:v>
                </c:pt>
              </c:strCache>
            </c:strRef>
          </c:tx>
          <c:invertIfNegative val="0"/>
          <c:val>
            <c:numRef>
              <c:f>Personaleinsatzplan!$F$9:$U$9</c:f>
              <c:numCache>
                <c:formatCode>0%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0.75</c:v>
                </c:pt>
                <c:pt idx="1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6-43C9-95F7-1FE6975EA106}"/>
            </c:ext>
          </c:extLst>
        </c:ser>
        <c:ser>
          <c:idx val="1"/>
          <c:order val="1"/>
          <c:tx>
            <c:strRef>
              <c:f>Personaleinsatzplan!$A$12</c:f>
              <c:strCache>
                <c:ptCount val="1"/>
                <c:pt idx="0">
                  <c:v>Techniker</c:v>
                </c:pt>
              </c:strCache>
            </c:strRef>
          </c:tx>
          <c:invertIfNegative val="0"/>
          <c:val>
            <c:numRef>
              <c:f>Personaleinsatzplan!$F$12:$U$12</c:f>
              <c:numCache>
                <c:formatCode>0%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6-43C9-95F7-1FE6975EA106}"/>
            </c:ext>
          </c:extLst>
        </c:ser>
        <c:ser>
          <c:idx val="0"/>
          <c:order val="2"/>
          <c:tx>
            <c:strRef>
              <c:f>Personaleinsatzplan!$A$15</c:f>
              <c:strCache>
                <c:ptCount val="1"/>
                <c:pt idx="0">
                  <c:v>Sekretariat</c:v>
                </c:pt>
              </c:strCache>
            </c:strRef>
          </c:tx>
          <c:invertIfNegative val="0"/>
          <c:val>
            <c:numRef>
              <c:f>Personaleinsatzplan!$F$15:$U$15</c:f>
              <c:numCache>
                <c:formatCode>0%</c:formatCode>
                <c:ptCount val="1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6-43C9-95F7-1FE6975EA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363644792"/>
        <c:axId val="1"/>
      </c:barChart>
      <c:catAx>
        <c:axId val="363644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63644792"/>
        <c:crosses val="autoZero"/>
        <c:crossBetween val="between"/>
      </c:valAx>
      <c:spPr>
        <a:effectLst>
          <a:glow>
            <a:schemeClr val="accent1"/>
          </a:glow>
        </a:effectLst>
      </c:spPr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9525</xdr:rowOff>
    </xdr:from>
    <xdr:to>
      <xdr:col>14</xdr:col>
      <xdr:colOff>0</xdr:colOff>
      <xdr:row>4</xdr:row>
      <xdr:rowOff>152400</xdr:rowOff>
    </xdr:to>
    <xdr:sp macro="" textlink="">
      <xdr:nvSpPr>
        <xdr:cNvPr id="2735418" name="AutoShape 1">
          <a:extLst>
            <a:ext uri="{FF2B5EF4-FFF2-40B4-BE49-F238E27FC236}">
              <a16:creationId xmlns:a16="http://schemas.microsoft.com/office/drawing/2014/main" id="{51B87B54-8449-4A0C-BB0A-BEAF56E3F0CC}"/>
            </a:ext>
          </a:extLst>
        </xdr:cNvPr>
        <xdr:cNvSpPr>
          <a:spLocks noChangeArrowheads="1"/>
        </xdr:cNvSpPr>
      </xdr:nvSpPr>
      <xdr:spPr bwMode="auto">
        <a:xfrm>
          <a:off x="50863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12</xdr:row>
      <xdr:rowOff>9525</xdr:rowOff>
    </xdr:from>
    <xdr:to>
      <xdr:col>14</xdr:col>
      <xdr:colOff>0</xdr:colOff>
      <xdr:row>12</xdr:row>
      <xdr:rowOff>152400</xdr:rowOff>
    </xdr:to>
    <xdr:sp macro="" textlink="">
      <xdr:nvSpPr>
        <xdr:cNvPr id="2735419" name="AutoShape 2">
          <a:extLst>
            <a:ext uri="{FF2B5EF4-FFF2-40B4-BE49-F238E27FC236}">
              <a16:creationId xmlns:a16="http://schemas.microsoft.com/office/drawing/2014/main" id="{AE3970BC-CAFD-4AFE-A2FD-AE808DE2A431}"/>
            </a:ext>
          </a:extLst>
        </xdr:cNvPr>
        <xdr:cNvSpPr>
          <a:spLocks noChangeArrowheads="1"/>
        </xdr:cNvSpPr>
      </xdr:nvSpPr>
      <xdr:spPr bwMode="auto">
        <a:xfrm>
          <a:off x="5086350" y="26098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5</xdr:row>
      <xdr:rowOff>9525</xdr:rowOff>
    </xdr:from>
    <xdr:to>
      <xdr:col>14</xdr:col>
      <xdr:colOff>0</xdr:colOff>
      <xdr:row>5</xdr:row>
      <xdr:rowOff>152400</xdr:rowOff>
    </xdr:to>
    <xdr:sp macro="" textlink="">
      <xdr:nvSpPr>
        <xdr:cNvPr id="2735420" name="AutoShape 4">
          <a:extLst>
            <a:ext uri="{FF2B5EF4-FFF2-40B4-BE49-F238E27FC236}">
              <a16:creationId xmlns:a16="http://schemas.microsoft.com/office/drawing/2014/main" id="{90295667-D460-4D79-8B7D-6C8076618729}"/>
            </a:ext>
          </a:extLst>
        </xdr:cNvPr>
        <xdr:cNvSpPr>
          <a:spLocks noChangeArrowheads="1"/>
        </xdr:cNvSpPr>
      </xdr:nvSpPr>
      <xdr:spPr bwMode="auto">
        <a:xfrm>
          <a:off x="50863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6</xdr:row>
      <xdr:rowOff>19050</xdr:rowOff>
    </xdr:from>
    <xdr:to>
      <xdr:col>14</xdr:col>
      <xdr:colOff>0</xdr:colOff>
      <xdr:row>7</xdr:row>
      <xdr:rowOff>0</xdr:rowOff>
    </xdr:to>
    <xdr:sp macro="" textlink="">
      <xdr:nvSpPr>
        <xdr:cNvPr id="2735421" name="AutoShape 5">
          <a:extLst>
            <a:ext uri="{FF2B5EF4-FFF2-40B4-BE49-F238E27FC236}">
              <a16:creationId xmlns:a16="http://schemas.microsoft.com/office/drawing/2014/main" id="{94DF1B97-FAC5-48DD-8996-823E47CAB561}"/>
            </a:ext>
          </a:extLst>
        </xdr:cNvPr>
        <xdr:cNvSpPr>
          <a:spLocks noChangeArrowheads="1"/>
        </xdr:cNvSpPr>
      </xdr:nvSpPr>
      <xdr:spPr bwMode="auto">
        <a:xfrm>
          <a:off x="50863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0</xdr:colOff>
      <xdr:row>13</xdr:row>
      <xdr:rowOff>0</xdr:rowOff>
    </xdr:to>
    <xdr:sp macro="" textlink="">
      <xdr:nvSpPr>
        <xdr:cNvPr id="2735422" name="AutoShape 6">
          <a:extLst>
            <a:ext uri="{FF2B5EF4-FFF2-40B4-BE49-F238E27FC236}">
              <a16:creationId xmlns:a16="http://schemas.microsoft.com/office/drawing/2014/main" id="{D053EB08-7F1A-4631-BC28-302928424AA9}"/>
            </a:ext>
          </a:extLst>
        </xdr:cNvPr>
        <xdr:cNvSpPr>
          <a:spLocks noChangeArrowheads="1"/>
        </xdr:cNvSpPr>
      </xdr:nvSpPr>
      <xdr:spPr bwMode="auto">
        <a:xfrm>
          <a:off x="5086350" y="27622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9525</xdr:colOff>
      <xdr:row>1</xdr:row>
      <xdr:rowOff>47625</xdr:rowOff>
    </xdr:from>
    <xdr:to>
      <xdr:col>14</xdr:col>
      <xdr:colOff>0</xdr:colOff>
      <xdr:row>1</xdr:row>
      <xdr:rowOff>314325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209071AA-979D-4829-93E0-27CD051F0DEB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14</xdr:col>
      <xdr:colOff>9525</xdr:colOff>
      <xdr:row>1</xdr:row>
      <xdr:rowOff>47625</xdr:rowOff>
    </xdr:from>
    <xdr:to>
      <xdr:col>25</xdr:col>
      <xdr:colOff>0</xdr:colOff>
      <xdr:row>1</xdr:row>
      <xdr:rowOff>314325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248A3DCB-1015-496E-8FC4-7A591DA7AA9F}"/>
            </a:ext>
          </a:extLst>
        </xdr:cNvPr>
        <xdr:cNvSpPr>
          <a:spLocks noChangeArrowheads="1"/>
        </xdr:cNvSpPr>
      </xdr:nvSpPr>
      <xdr:spPr bwMode="auto">
        <a:xfrm>
          <a:off x="5324475" y="523875"/>
          <a:ext cx="143827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25</xdr:col>
      <xdr:colOff>0</xdr:colOff>
      <xdr:row>1</xdr:row>
      <xdr:rowOff>47625</xdr:rowOff>
    </xdr:from>
    <xdr:to>
      <xdr:col>28</xdr:col>
      <xdr:colOff>361950</xdr:colOff>
      <xdr:row>1</xdr:row>
      <xdr:rowOff>314325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7052CA49-25BD-47E1-BB96-32F63971B5E9}"/>
            </a:ext>
          </a:extLst>
        </xdr:cNvPr>
        <xdr:cNvSpPr>
          <a:spLocks noChangeArrowheads="1"/>
        </xdr:cNvSpPr>
      </xdr:nvSpPr>
      <xdr:spPr bwMode="auto">
        <a:xfrm>
          <a:off x="6762750" y="523875"/>
          <a:ext cx="609600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25</xdr:col>
      <xdr:colOff>0</xdr:colOff>
      <xdr:row>4</xdr:row>
      <xdr:rowOff>9525</xdr:rowOff>
    </xdr:from>
    <xdr:to>
      <xdr:col>25</xdr:col>
      <xdr:colOff>0</xdr:colOff>
      <xdr:row>4</xdr:row>
      <xdr:rowOff>152400</xdr:rowOff>
    </xdr:to>
    <xdr:sp macro="" textlink="">
      <xdr:nvSpPr>
        <xdr:cNvPr id="2735426" name="AutoShape 10">
          <a:extLst>
            <a:ext uri="{FF2B5EF4-FFF2-40B4-BE49-F238E27FC236}">
              <a16:creationId xmlns:a16="http://schemas.microsoft.com/office/drawing/2014/main" id="{0055C53B-F6FF-464B-8928-E56157B3E32A}"/>
            </a:ext>
          </a:extLst>
        </xdr:cNvPr>
        <xdr:cNvSpPr>
          <a:spLocks noChangeArrowheads="1"/>
        </xdr:cNvSpPr>
      </xdr:nvSpPr>
      <xdr:spPr bwMode="auto">
        <a:xfrm>
          <a:off x="7496175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11</xdr:row>
      <xdr:rowOff>9525</xdr:rowOff>
    </xdr:from>
    <xdr:to>
      <xdr:col>25</xdr:col>
      <xdr:colOff>0</xdr:colOff>
      <xdr:row>11</xdr:row>
      <xdr:rowOff>152400</xdr:rowOff>
    </xdr:to>
    <xdr:sp macro="" textlink="">
      <xdr:nvSpPr>
        <xdr:cNvPr id="2735427" name="AutoShape 11">
          <a:extLst>
            <a:ext uri="{FF2B5EF4-FFF2-40B4-BE49-F238E27FC236}">
              <a16:creationId xmlns:a16="http://schemas.microsoft.com/office/drawing/2014/main" id="{B77B0E90-4F9B-47A6-BFE5-CDEEB3C04F0D}"/>
            </a:ext>
          </a:extLst>
        </xdr:cNvPr>
        <xdr:cNvSpPr>
          <a:spLocks noChangeArrowheads="1"/>
        </xdr:cNvSpPr>
      </xdr:nvSpPr>
      <xdr:spPr bwMode="auto">
        <a:xfrm>
          <a:off x="7496175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12</xdr:row>
      <xdr:rowOff>9525</xdr:rowOff>
    </xdr:from>
    <xdr:to>
      <xdr:col>25</xdr:col>
      <xdr:colOff>0</xdr:colOff>
      <xdr:row>12</xdr:row>
      <xdr:rowOff>152400</xdr:rowOff>
    </xdr:to>
    <xdr:sp macro="" textlink="">
      <xdr:nvSpPr>
        <xdr:cNvPr id="2735428" name="AutoShape 12">
          <a:extLst>
            <a:ext uri="{FF2B5EF4-FFF2-40B4-BE49-F238E27FC236}">
              <a16:creationId xmlns:a16="http://schemas.microsoft.com/office/drawing/2014/main" id="{EAE11311-3B79-4672-8EB9-6FC18B774142}"/>
            </a:ext>
          </a:extLst>
        </xdr:cNvPr>
        <xdr:cNvSpPr>
          <a:spLocks noChangeArrowheads="1"/>
        </xdr:cNvSpPr>
      </xdr:nvSpPr>
      <xdr:spPr bwMode="auto">
        <a:xfrm>
          <a:off x="7496175" y="26098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5</xdr:row>
      <xdr:rowOff>9525</xdr:rowOff>
    </xdr:from>
    <xdr:to>
      <xdr:col>25</xdr:col>
      <xdr:colOff>0</xdr:colOff>
      <xdr:row>5</xdr:row>
      <xdr:rowOff>152400</xdr:rowOff>
    </xdr:to>
    <xdr:sp macro="" textlink="">
      <xdr:nvSpPr>
        <xdr:cNvPr id="2735429" name="AutoShape 13">
          <a:extLst>
            <a:ext uri="{FF2B5EF4-FFF2-40B4-BE49-F238E27FC236}">
              <a16:creationId xmlns:a16="http://schemas.microsoft.com/office/drawing/2014/main" id="{30E28DF3-CB24-48C4-A8CE-CE20640967B2}"/>
            </a:ext>
          </a:extLst>
        </xdr:cNvPr>
        <xdr:cNvSpPr>
          <a:spLocks noChangeArrowheads="1"/>
        </xdr:cNvSpPr>
      </xdr:nvSpPr>
      <xdr:spPr bwMode="auto">
        <a:xfrm>
          <a:off x="7496175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6</xdr:row>
      <xdr:rowOff>19050</xdr:rowOff>
    </xdr:from>
    <xdr:to>
      <xdr:col>25</xdr:col>
      <xdr:colOff>0</xdr:colOff>
      <xdr:row>7</xdr:row>
      <xdr:rowOff>0</xdr:rowOff>
    </xdr:to>
    <xdr:sp macro="" textlink="">
      <xdr:nvSpPr>
        <xdr:cNvPr id="2735430" name="AutoShape 14">
          <a:extLst>
            <a:ext uri="{FF2B5EF4-FFF2-40B4-BE49-F238E27FC236}">
              <a16:creationId xmlns:a16="http://schemas.microsoft.com/office/drawing/2014/main" id="{5ADEC8F4-DCEB-4301-8EC3-428227B58F06}"/>
            </a:ext>
          </a:extLst>
        </xdr:cNvPr>
        <xdr:cNvSpPr>
          <a:spLocks noChangeArrowheads="1"/>
        </xdr:cNvSpPr>
      </xdr:nvSpPr>
      <xdr:spPr bwMode="auto">
        <a:xfrm>
          <a:off x="7496175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7</xdr:row>
      <xdr:rowOff>9525</xdr:rowOff>
    </xdr:from>
    <xdr:to>
      <xdr:col>25</xdr:col>
      <xdr:colOff>0</xdr:colOff>
      <xdr:row>7</xdr:row>
      <xdr:rowOff>152400</xdr:rowOff>
    </xdr:to>
    <xdr:sp macro="" textlink="">
      <xdr:nvSpPr>
        <xdr:cNvPr id="2735431" name="AutoShape 15">
          <a:extLst>
            <a:ext uri="{FF2B5EF4-FFF2-40B4-BE49-F238E27FC236}">
              <a16:creationId xmlns:a16="http://schemas.microsoft.com/office/drawing/2014/main" id="{D9810BFD-8730-4960-8DA4-35ACBD6C7F55}"/>
            </a:ext>
          </a:extLst>
        </xdr:cNvPr>
        <xdr:cNvSpPr>
          <a:spLocks noChangeArrowheads="1"/>
        </xdr:cNvSpPr>
      </xdr:nvSpPr>
      <xdr:spPr bwMode="auto">
        <a:xfrm>
          <a:off x="7496175" y="18002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9525</xdr:rowOff>
    </xdr:from>
    <xdr:to>
      <xdr:col>25</xdr:col>
      <xdr:colOff>0</xdr:colOff>
      <xdr:row>8</xdr:row>
      <xdr:rowOff>152400</xdr:rowOff>
    </xdr:to>
    <xdr:sp macro="" textlink="">
      <xdr:nvSpPr>
        <xdr:cNvPr id="2735432" name="AutoShape 16">
          <a:extLst>
            <a:ext uri="{FF2B5EF4-FFF2-40B4-BE49-F238E27FC236}">
              <a16:creationId xmlns:a16="http://schemas.microsoft.com/office/drawing/2014/main" id="{BF639C1F-2AE3-4D19-AD8A-898A46267656}"/>
            </a:ext>
          </a:extLst>
        </xdr:cNvPr>
        <xdr:cNvSpPr>
          <a:spLocks noChangeArrowheads="1"/>
        </xdr:cNvSpPr>
      </xdr:nvSpPr>
      <xdr:spPr bwMode="auto">
        <a:xfrm>
          <a:off x="7496175" y="19621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19050</xdr:rowOff>
    </xdr:from>
    <xdr:to>
      <xdr:col>25</xdr:col>
      <xdr:colOff>0</xdr:colOff>
      <xdr:row>10</xdr:row>
      <xdr:rowOff>0</xdr:rowOff>
    </xdr:to>
    <xdr:sp macro="" textlink="">
      <xdr:nvSpPr>
        <xdr:cNvPr id="2735433" name="AutoShape 17">
          <a:extLst>
            <a:ext uri="{FF2B5EF4-FFF2-40B4-BE49-F238E27FC236}">
              <a16:creationId xmlns:a16="http://schemas.microsoft.com/office/drawing/2014/main" id="{7E2B515C-D6A2-4642-AA6F-823CE76A1E89}"/>
            </a:ext>
          </a:extLst>
        </xdr:cNvPr>
        <xdr:cNvSpPr>
          <a:spLocks noChangeArrowheads="1"/>
        </xdr:cNvSpPr>
      </xdr:nvSpPr>
      <xdr:spPr bwMode="auto">
        <a:xfrm>
          <a:off x="7496175" y="21336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10</xdr:row>
      <xdr:rowOff>9525</xdr:rowOff>
    </xdr:from>
    <xdr:to>
      <xdr:col>25</xdr:col>
      <xdr:colOff>0</xdr:colOff>
      <xdr:row>10</xdr:row>
      <xdr:rowOff>152400</xdr:rowOff>
    </xdr:to>
    <xdr:sp macro="" textlink="">
      <xdr:nvSpPr>
        <xdr:cNvPr id="2735434" name="AutoShape 18">
          <a:extLst>
            <a:ext uri="{FF2B5EF4-FFF2-40B4-BE49-F238E27FC236}">
              <a16:creationId xmlns:a16="http://schemas.microsoft.com/office/drawing/2014/main" id="{A38BDDD2-0D31-467E-A84C-DDE742193247}"/>
            </a:ext>
          </a:extLst>
        </xdr:cNvPr>
        <xdr:cNvSpPr>
          <a:spLocks noChangeArrowheads="1"/>
        </xdr:cNvSpPr>
      </xdr:nvSpPr>
      <xdr:spPr bwMode="auto">
        <a:xfrm>
          <a:off x="7496175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sp macro="" textlink="">
      <xdr:nvSpPr>
        <xdr:cNvPr id="2735435" name="AutoShape 20">
          <a:extLst>
            <a:ext uri="{FF2B5EF4-FFF2-40B4-BE49-F238E27FC236}">
              <a16:creationId xmlns:a16="http://schemas.microsoft.com/office/drawing/2014/main" id="{9E2EC6FE-57EC-48D3-925A-A3F6D71C4A8A}"/>
            </a:ext>
          </a:extLst>
        </xdr:cNvPr>
        <xdr:cNvSpPr>
          <a:spLocks noChangeArrowheads="1"/>
        </xdr:cNvSpPr>
      </xdr:nvSpPr>
      <xdr:spPr bwMode="auto">
        <a:xfrm>
          <a:off x="7496175" y="27622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1</xdr:row>
      <xdr:rowOff>47625</xdr:rowOff>
    </xdr:from>
    <xdr:to>
      <xdr:col>10</xdr:col>
      <xdr:colOff>609600</xdr:colOff>
      <xdr:row>1</xdr:row>
      <xdr:rowOff>314325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1634B404-8329-4CC4-8EA9-C355C90E3C51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2735437" name="AutoShape 27">
          <a:extLst>
            <a:ext uri="{FF2B5EF4-FFF2-40B4-BE49-F238E27FC236}">
              <a16:creationId xmlns:a16="http://schemas.microsoft.com/office/drawing/2014/main" id="{6A330D8F-0100-4C49-A3D0-C1C2606D984E}"/>
            </a:ext>
          </a:extLst>
        </xdr:cNvPr>
        <xdr:cNvSpPr>
          <a:spLocks noChangeArrowheads="1"/>
        </xdr:cNvSpPr>
      </xdr:nvSpPr>
      <xdr:spPr bwMode="auto">
        <a:xfrm>
          <a:off x="508635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2735438" name="AutoShape 28">
          <a:extLst>
            <a:ext uri="{FF2B5EF4-FFF2-40B4-BE49-F238E27FC236}">
              <a16:creationId xmlns:a16="http://schemas.microsoft.com/office/drawing/2014/main" id="{8DAF1751-F685-4B3E-BD11-9BED5767D07A}"/>
            </a:ext>
          </a:extLst>
        </xdr:cNvPr>
        <xdr:cNvSpPr>
          <a:spLocks noChangeArrowheads="1"/>
        </xdr:cNvSpPr>
      </xdr:nvSpPr>
      <xdr:spPr bwMode="auto">
        <a:xfrm>
          <a:off x="7496175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2735439" name="AutoShape 29">
          <a:extLst>
            <a:ext uri="{FF2B5EF4-FFF2-40B4-BE49-F238E27FC236}">
              <a16:creationId xmlns:a16="http://schemas.microsoft.com/office/drawing/2014/main" id="{589CF936-E010-4D76-AC06-F2889E60CFA2}"/>
            </a:ext>
          </a:extLst>
        </xdr:cNvPr>
        <xdr:cNvSpPr>
          <a:spLocks noChangeArrowheads="1"/>
        </xdr:cNvSpPr>
      </xdr:nvSpPr>
      <xdr:spPr bwMode="auto">
        <a:xfrm>
          <a:off x="508635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2735440" name="AutoShape 30">
          <a:extLst>
            <a:ext uri="{FF2B5EF4-FFF2-40B4-BE49-F238E27FC236}">
              <a16:creationId xmlns:a16="http://schemas.microsoft.com/office/drawing/2014/main" id="{A463DDED-F768-4C30-819D-E85F65D5F7FE}"/>
            </a:ext>
          </a:extLst>
        </xdr:cNvPr>
        <xdr:cNvSpPr>
          <a:spLocks noChangeArrowheads="1"/>
        </xdr:cNvSpPr>
      </xdr:nvSpPr>
      <xdr:spPr bwMode="auto">
        <a:xfrm>
          <a:off x="7496175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6</xdr:col>
      <xdr:colOff>609600</xdr:colOff>
      <xdr:row>1</xdr:row>
      <xdr:rowOff>314325</xdr:rowOff>
    </xdr:to>
    <xdr:sp macro="" textlink="">
      <xdr:nvSpPr>
        <xdr:cNvPr id="26" name="AutoShape 22">
          <a:extLst>
            <a:ext uri="{FF2B5EF4-FFF2-40B4-BE49-F238E27FC236}">
              <a16:creationId xmlns:a16="http://schemas.microsoft.com/office/drawing/2014/main" id="{ACEAA54E-DA5B-4E9C-AA4B-0865C8E0BE68}"/>
            </a:ext>
          </a:extLst>
        </xdr:cNvPr>
        <xdr:cNvSpPr>
          <a:spLocks noChangeArrowheads="1"/>
        </xdr:cNvSpPr>
      </xdr:nvSpPr>
      <xdr:spPr bwMode="auto">
        <a:xfrm>
          <a:off x="3552825" y="523875"/>
          <a:ext cx="69532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0518" name="Picture 1" descr="Logo WKO-Bundesinnung Bau">
          <a:extLst>
            <a:ext uri="{FF2B5EF4-FFF2-40B4-BE49-F238E27FC236}">
              <a16:creationId xmlns:a16="http://schemas.microsoft.com/office/drawing/2014/main" id="{B3127827-00DD-4D0E-8514-484A12A9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24</xdr:row>
      <xdr:rowOff>66675</xdr:rowOff>
    </xdr:from>
    <xdr:to>
      <xdr:col>14</xdr:col>
      <xdr:colOff>419100</xdr:colOff>
      <xdr:row>41</xdr:row>
      <xdr:rowOff>57150</xdr:rowOff>
    </xdr:to>
    <xdr:graphicFrame macro="">
      <xdr:nvGraphicFramePr>
        <xdr:cNvPr id="72635" name="Diagramm 1">
          <a:extLst>
            <a:ext uri="{FF2B5EF4-FFF2-40B4-BE49-F238E27FC236}">
              <a16:creationId xmlns:a16="http://schemas.microsoft.com/office/drawing/2014/main" id="{C61B81EB-7C59-446E-95FA-78AC5C185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381000</xdr:colOff>
      <xdr:row>42</xdr:row>
      <xdr:rowOff>95250</xdr:rowOff>
    </xdr:from>
    <xdr:to>
      <xdr:col>14</xdr:col>
      <xdr:colOff>419100</xdr:colOff>
      <xdr:row>59</xdr:row>
      <xdr:rowOff>85725</xdr:rowOff>
    </xdr:to>
    <xdr:graphicFrame macro="">
      <xdr:nvGraphicFramePr>
        <xdr:cNvPr id="72636" name="Diagramm 2">
          <a:extLst>
            <a:ext uri="{FF2B5EF4-FFF2-40B4-BE49-F238E27FC236}">
              <a16:creationId xmlns:a16="http://schemas.microsoft.com/office/drawing/2014/main" id="{A53B45F8-87A0-4380-92CB-BCE46281E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381000</xdr:colOff>
      <xdr:row>60</xdr:row>
      <xdr:rowOff>66675</xdr:rowOff>
    </xdr:from>
    <xdr:to>
      <xdr:col>15</xdr:col>
      <xdr:colOff>266700</xdr:colOff>
      <xdr:row>77</xdr:row>
      <xdr:rowOff>0</xdr:rowOff>
    </xdr:to>
    <xdr:graphicFrame macro="">
      <xdr:nvGraphicFramePr>
        <xdr:cNvPr id="72637" name="Diagramm 3">
          <a:extLst>
            <a:ext uri="{FF2B5EF4-FFF2-40B4-BE49-F238E27FC236}">
              <a16:creationId xmlns:a16="http://schemas.microsoft.com/office/drawing/2014/main" id="{8F7519CF-C7C6-4B61-8D21-601D61421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381000</xdr:colOff>
      <xdr:row>78</xdr:row>
      <xdr:rowOff>0</xdr:rowOff>
    </xdr:from>
    <xdr:to>
      <xdr:col>16</xdr:col>
      <xdr:colOff>152400</xdr:colOff>
      <xdr:row>99</xdr:row>
      <xdr:rowOff>28575</xdr:rowOff>
    </xdr:to>
    <xdr:graphicFrame macro="">
      <xdr:nvGraphicFramePr>
        <xdr:cNvPr id="72638" name="Diagramm 5">
          <a:extLst>
            <a:ext uri="{FF2B5EF4-FFF2-40B4-BE49-F238E27FC236}">
              <a16:creationId xmlns:a16="http://schemas.microsoft.com/office/drawing/2014/main" id="{F75A31EC-0375-43E5-9727-9685AD182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31</xdr:row>
      <xdr:rowOff>133350</xdr:rowOff>
    </xdr:from>
    <xdr:to>
      <xdr:col>10</xdr:col>
      <xdr:colOff>0</xdr:colOff>
      <xdr:row>33</xdr:row>
      <xdr:rowOff>38100</xdr:rowOff>
    </xdr:to>
    <xdr:sp macro="" textlink="">
      <xdr:nvSpPr>
        <xdr:cNvPr id="11" name="Abgerundetes Rechteck 10">
          <a:extLst>
            <a:ext uri="{FF2B5EF4-FFF2-40B4-BE49-F238E27FC236}">
              <a16:creationId xmlns:a16="http://schemas.microsoft.com/office/drawing/2014/main" id="{191FD56E-520F-4C76-888D-4F11DAF81A32}"/>
            </a:ext>
          </a:extLst>
        </xdr:cNvPr>
        <xdr:cNvSpPr/>
      </xdr:nvSpPr>
      <xdr:spPr>
        <a:xfrm>
          <a:off x="6038850" y="4181475"/>
          <a:ext cx="561975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123825</xdr:colOff>
      <xdr:row>57</xdr:row>
      <xdr:rowOff>161927</xdr:rowOff>
    </xdr:from>
    <xdr:to>
      <xdr:col>3</xdr:col>
      <xdr:colOff>704850</xdr:colOff>
      <xdr:row>59</xdr:row>
      <xdr:rowOff>19051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75AFD090-6B0E-41A0-8C3D-FB217EE03E0A}"/>
            </a:ext>
          </a:extLst>
        </xdr:cNvPr>
        <xdr:cNvSpPr/>
      </xdr:nvSpPr>
      <xdr:spPr>
        <a:xfrm>
          <a:off x="2847975" y="8515352"/>
          <a:ext cx="581025" cy="21907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133350</xdr:colOff>
      <xdr:row>42</xdr:row>
      <xdr:rowOff>180976</xdr:rowOff>
    </xdr:from>
    <xdr:to>
      <xdr:col>3</xdr:col>
      <xdr:colOff>714375</xdr:colOff>
      <xdr:row>44</xdr:row>
      <xdr:rowOff>19050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17E2C730-2A3A-4AA5-AC34-087218018E55}"/>
            </a:ext>
          </a:extLst>
        </xdr:cNvPr>
        <xdr:cNvSpPr/>
      </xdr:nvSpPr>
      <xdr:spPr>
        <a:xfrm>
          <a:off x="2857500" y="6753226"/>
          <a:ext cx="581025" cy="20954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123825</xdr:colOff>
      <xdr:row>27</xdr:row>
      <xdr:rowOff>152401</xdr:rowOff>
    </xdr:from>
    <xdr:to>
      <xdr:col>3</xdr:col>
      <xdr:colOff>704850</xdr:colOff>
      <xdr:row>29</xdr:row>
      <xdr:rowOff>19050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3128D8C4-36F7-44FB-AE3C-67F148F01904}"/>
            </a:ext>
          </a:extLst>
        </xdr:cNvPr>
        <xdr:cNvSpPr/>
      </xdr:nvSpPr>
      <xdr:spPr>
        <a:xfrm>
          <a:off x="2847975" y="4743451"/>
          <a:ext cx="581025" cy="22859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16</xdr:row>
      <xdr:rowOff>142875</xdr:rowOff>
    </xdr:from>
    <xdr:to>
      <xdr:col>10</xdr:col>
      <xdr:colOff>0</xdr:colOff>
      <xdr:row>18</xdr:row>
      <xdr:rowOff>47625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7DAAA0EE-161F-43EE-BB3F-6C3C0C95F258}"/>
            </a:ext>
          </a:extLst>
        </xdr:cNvPr>
        <xdr:cNvSpPr/>
      </xdr:nvSpPr>
      <xdr:spPr>
        <a:xfrm>
          <a:off x="5924550" y="259080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46</xdr:row>
      <xdr:rowOff>142875</xdr:rowOff>
    </xdr:from>
    <xdr:to>
      <xdr:col>10</xdr:col>
      <xdr:colOff>0</xdr:colOff>
      <xdr:row>48</xdr:row>
      <xdr:rowOff>0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FE3F644B-83D1-4EEA-8E6D-5E6969935BEB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7" sqref="B7"/>
    </sheetView>
  </sheetViews>
  <sheetFormatPr baseColWidth="10" defaultColWidth="11.44140625" defaultRowHeight="13.2" x14ac:dyDescent="0.25"/>
  <cols>
    <col min="1" max="1" width="39.33203125" style="281" customWidth="1"/>
    <col min="2" max="2" width="11.44140625" style="281"/>
    <col min="3" max="3" width="3.6640625" style="281" customWidth="1"/>
    <col min="4" max="16384" width="11.44140625" style="281"/>
  </cols>
  <sheetData>
    <row r="1" spans="1:3" ht="17.399999999999999" x14ac:dyDescent="0.3">
      <c r="A1" s="280" t="s">
        <v>204</v>
      </c>
    </row>
    <row r="3" spans="1:3" ht="18" customHeight="1" x14ac:dyDescent="0.25">
      <c r="A3" s="282" t="s">
        <v>205</v>
      </c>
      <c r="B3" s="283">
        <f>Personaleinsatzplan!BA14</f>
        <v>99.674199576000007</v>
      </c>
      <c r="C3" s="284" t="s">
        <v>184</v>
      </c>
    </row>
    <row r="4" spans="1:3" ht="18" customHeight="1" x14ac:dyDescent="0.25">
      <c r="A4" s="282" t="s">
        <v>206</v>
      </c>
      <c r="B4" s="283">
        <f>Personaleinsatzplan!AU19</f>
        <v>53.058509279999996</v>
      </c>
      <c r="C4" s="284" t="s">
        <v>184</v>
      </c>
    </row>
    <row r="5" spans="1:3" ht="18" customHeight="1" x14ac:dyDescent="0.25">
      <c r="A5" s="282" t="s">
        <v>207</v>
      </c>
      <c r="B5" s="283">
        <f>Personaleinsatzplan!AO19</f>
        <v>90.957444480000007</v>
      </c>
      <c r="C5" s="284" t="s">
        <v>184</v>
      </c>
    </row>
    <row r="6" spans="1:3" ht="18" customHeight="1" x14ac:dyDescent="0.25">
      <c r="A6" s="282" t="s">
        <v>208</v>
      </c>
      <c r="B6" s="283">
        <f>Personaleinsatzplan!AI19</f>
        <v>109.90691208000001</v>
      </c>
      <c r="C6" s="284" t="s">
        <v>184</v>
      </c>
    </row>
    <row r="7" spans="1:3" ht="18" customHeight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showGridLines="0" workbookViewId="0">
      <selection activeCell="B7" sqref="B7"/>
    </sheetView>
  </sheetViews>
  <sheetFormatPr baseColWidth="10" defaultRowHeight="13.2" x14ac:dyDescent="0.25"/>
  <cols>
    <col min="1" max="1" width="22.6640625" bestFit="1" customWidth="1"/>
    <col min="2" max="2" width="20.6640625" customWidth="1"/>
    <col min="3" max="3" width="10.109375" customWidth="1"/>
    <col min="4" max="4" width="16.6640625" customWidth="1"/>
  </cols>
  <sheetData>
    <row r="1" spans="1:4" ht="17.399999999999999" x14ac:dyDescent="0.3">
      <c r="A1" s="65" t="s">
        <v>211</v>
      </c>
    </row>
    <row r="3" spans="1:4" s="5" customFormat="1" ht="20.100000000000001" customHeight="1" x14ac:dyDescent="0.25">
      <c r="A3" s="225" t="s">
        <v>197</v>
      </c>
      <c r="B3" s="289" t="s">
        <v>252</v>
      </c>
      <c r="C3" s="224"/>
    </row>
    <row r="4" spans="1:4" s="5" customFormat="1" ht="20.100000000000001" customHeight="1" x14ac:dyDescent="0.25">
      <c r="A4" s="225" t="s">
        <v>54</v>
      </c>
      <c r="B4" s="289" t="s">
        <v>213</v>
      </c>
      <c r="C4" s="224"/>
    </row>
    <row r="5" spans="1:4" s="5" customFormat="1" ht="20.100000000000001" customHeight="1" x14ac:dyDescent="0.25">
      <c r="A5" s="225" t="s">
        <v>198</v>
      </c>
      <c r="B5" s="290">
        <v>16</v>
      </c>
      <c r="C5" s="225" t="s">
        <v>150</v>
      </c>
    </row>
    <row r="6" spans="1:4" s="5" customFormat="1" ht="20.100000000000001" customHeight="1" x14ac:dyDescent="0.25">
      <c r="A6" s="225" t="s">
        <v>96</v>
      </c>
      <c r="B6" s="290">
        <v>2100</v>
      </c>
      <c r="C6" s="225" t="s">
        <v>200</v>
      </c>
    </row>
    <row r="7" spans="1:4" s="5" customFormat="1" ht="20.100000000000001" customHeight="1" x14ac:dyDescent="0.25">
      <c r="A7" s="225" t="s">
        <v>201</v>
      </c>
      <c r="B7" s="291">
        <v>1700</v>
      </c>
      <c r="C7" s="225" t="s">
        <v>202</v>
      </c>
      <c r="D7" s="293"/>
    </row>
    <row r="8" spans="1:4" s="5" customFormat="1" ht="20.100000000000001" customHeight="1" x14ac:dyDescent="0.25">
      <c r="A8" s="225" t="s">
        <v>105</v>
      </c>
      <c r="B8" s="226">
        <f>B6*B7</f>
        <v>3570000</v>
      </c>
      <c r="C8" s="225" t="s">
        <v>199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showGridLines="0" zoomScaleNormal="100" zoomScaleSheetLayoutView="85" workbookViewId="0">
      <selection activeCell="K43" sqref="K43"/>
    </sheetView>
  </sheetViews>
  <sheetFormatPr baseColWidth="10" defaultColWidth="11.44140625" defaultRowHeight="15" x14ac:dyDescent="0.25"/>
  <cols>
    <col min="1" max="1" width="5.5546875" style="41" customWidth="1"/>
    <col min="2" max="2" width="34.109375" style="41" customWidth="1"/>
    <col min="3" max="3" width="1.109375" style="41" customWidth="1"/>
    <col min="4" max="4" width="20.109375" style="41" bestFit="1" customWidth="1"/>
    <col min="5" max="5" width="8.44140625" style="41" hidden="1" customWidth="1"/>
    <col min="6" max="6" width="14.44140625" style="41" customWidth="1"/>
    <col min="7" max="7" width="1.109375" style="41" customWidth="1"/>
    <col min="8" max="8" width="23.44140625" style="41" customWidth="1"/>
    <col min="9" max="9" width="8.44140625" style="41" hidden="1" customWidth="1"/>
    <col min="10" max="16384" width="11.44140625" style="41"/>
  </cols>
  <sheetData>
    <row r="1" spans="1:10" ht="17.399999999999999" x14ac:dyDescent="0.3">
      <c r="A1" s="65" t="s">
        <v>103</v>
      </c>
      <c r="B1" s="40"/>
      <c r="C1" s="40"/>
      <c r="D1" s="40"/>
      <c r="E1" s="40"/>
      <c r="F1" s="40"/>
      <c r="G1" s="40"/>
      <c r="H1" s="40"/>
      <c r="I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0" s="33" customFormat="1" ht="15.6" x14ac:dyDescent="0.3">
      <c r="A3" s="32" t="s">
        <v>53</v>
      </c>
      <c r="B3" s="40"/>
      <c r="C3" s="32"/>
      <c r="D3" s="326" t="str">
        <f>Projektannahmen!B3</f>
        <v>Bürogebäude 3-stöckig, Salzburg</v>
      </c>
      <c r="E3" s="326"/>
      <c r="F3" s="326"/>
      <c r="G3" s="326"/>
      <c r="H3" s="326"/>
      <c r="I3" s="326"/>
      <c r="J3" s="131"/>
    </row>
    <row r="4" spans="1:10" s="33" customFormat="1" ht="15.6" x14ac:dyDescent="0.3">
      <c r="A4" s="32" t="s">
        <v>54</v>
      </c>
      <c r="B4" s="40"/>
      <c r="C4" s="32"/>
      <c r="D4" s="327" t="str">
        <f>Projektannahmen!B4</f>
        <v>AG 02</v>
      </c>
      <c r="E4" s="328"/>
      <c r="F4" s="328"/>
      <c r="G4" s="328"/>
      <c r="H4" s="329"/>
      <c r="I4" s="292"/>
      <c r="J4" s="131"/>
    </row>
    <row r="5" spans="1:10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0" s="33" customFormat="1" ht="16.2" thickBot="1" x14ac:dyDescent="0.35">
      <c r="A6" s="32"/>
      <c r="B6" s="32"/>
      <c r="C6" s="32"/>
      <c r="D6" s="325" t="s">
        <v>111</v>
      </c>
      <c r="E6" s="325"/>
      <c r="F6" s="325"/>
      <c r="G6" s="44"/>
      <c r="H6" s="325" t="s">
        <v>112</v>
      </c>
      <c r="I6" s="325"/>
    </row>
    <row r="7" spans="1:10" s="1" customFormat="1" ht="28.2" thickBot="1" x14ac:dyDescent="0.3">
      <c r="A7" s="61" t="s">
        <v>57</v>
      </c>
      <c r="B7" s="63" t="s">
        <v>58</v>
      </c>
      <c r="C7" s="44"/>
      <c r="D7" s="84" t="s">
        <v>158</v>
      </c>
      <c r="E7" s="62" t="s">
        <v>113</v>
      </c>
      <c r="F7" s="63" t="s">
        <v>72</v>
      </c>
      <c r="G7" s="67"/>
      <c r="H7" s="61" t="s">
        <v>124</v>
      </c>
      <c r="I7" s="63" t="s">
        <v>113</v>
      </c>
    </row>
    <row r="8" spans="1:10" s="33" customFormat="1" ht="16.2" thickBot="1" x14ac:dyDescent="0.35">
      <c r="A8" s="32"/>
      <c r="B8" s="32"/>
      <c r="C8" s="32"/>
      <c r="D8" s="32"/>
      <c r="E8" s="32"/>
      <c r="F8" s="32"/>
      <c r="G8" s="32"/>
      <c r="H8" s="32"/>
      <c r="I8" s="32"/>
    </row>
    <row r="9" spans="1:10" s="73" customFormat="1" ht="19.5" customHeight="1" thickBot="1" x14ac:dyDescent="0.3">
      <c r="A9" s="50" t="s">
        <v>84</v>
      </c>
      <c r="B9" s="51"/>
      <c r="C9" s="74"/>
      <c r="D9" s="78" t="s">
        <v>114</v>
      </c>
      <c r="E9" s="79"/>
      <c r="F9" s="80">
        <v>3</v>
      </c>
      <c r="G9" s="74"/>
      <c r="H9" s="130"/>
      <c r="I9" s="51"/>
    </row>
    <row r="10" spans="1:10" s="1" customFormat="1" ht="7.5" customHeight="1" x14ac:dyDescent="0.25">
      <c r="A10" s="44"/>
      <c r="C10" s="44"/>
      <c r="D10" s="53"/>
      <c r="E10" s="44"/>
      <c r="F10" s="44"/>
      <c r="G10" s="44"/>
      <c r="H10" s="44"/>
    </row>
    <row r="11" spans="1:10" s="54" customFormat="1" ht="22.5" customHeight="1" x14ac:dyDescent="0.25">
      <c r="A11" s="68" t="s">
        <v>59</v>
      </c>
      <c r="B11" s="66" t="s">
        <v>76</v>
      </c>
      <c r="C11" s="69"/>
      <c r="D11" s="70">
        <v>1</v>
      </c>
      <c r="E11" s="71">
        <v>3</v>
      </c>
      <c r="F11" s="228"/>
      <c r="G11" s="58"/>
      <c r="H11" s="229"/>
      <c r="I11" s="71">
        <v>0</v>
      </c>
    </row>
    <row r="12" spans="1:10" s="54" customFormat="1" ht="22.5" customHeight="1" x14ac:dyDescent="0.25">
      <c r="A12" s="68" t="s">
        <v>62</v>
      </c>
      <c r="B12" s="66" t="s">
        <v>77</v>
      </c>
      <c r="C12" s="69"/>
      <c r="D12" s="70">
        <v>1</v>
      </c>
      <c r="E12" s="71">
        <v>3</v>
      </c>
      <c r="F12" s="228"/>
      <c r="G12" s="58"/>
      <c r="H12" s="230"/>
      <c r="I12" s="72">
        <v>0</v>
      </c>
    </row>
    <row r="13" spans="1:10" s="54" customFormat="1" ht="22.5" customHeight="1" x14ac:dyDescent="0.25">
      <c r="A13" s="68" t="s">
        <v>63</v>
      </c>
      <c r="B13" s="66" t="s">
        <v>78</v>
      </c>
      <c r="C13" s="69"/>
      <c r="D13" s="70">
        <v>1</v>
      </c>
      <c r="E13" s="71">
        <v>3</v>
      </c>
      <c r="F13" s="228"/>
      <c r="G13" s="58"/>
      <c r="H13" s="230"/>
      <c r="I13" s="72">
        <v>0</v>
      </c>
    </row>
    <row r="14" spans="1:10" s="54" customFormat="1" ht="22.5" customHeight="1" x14ac:dyDescent="0.25">
      <c r="A14" s="68" t="s">
        <v>64</v>
      </c>
      <c r="B14" s="66" t="s">
        <v>79</v>
      </c>
      <c r="C14" s="69"/>
      <c r="D14" s="70">
        <v>0</v>
      </c>
      <c r="E14" s="71">
        <v>0</v>
      </c>
      <c r="F14" s="228"/>
      <c r="G14" s="58"/>
      <c r="H14" s="230"/>
      <c r="I14" s="72"/>
    </row>
    <row r="15" spans="1:10" s="54" customFormat="1" ht="27.6" x14ac:dyDescent="0.25">
      <c r="A15" s="68" t="s">
        <v>65</v>
      </c>
      <c r="B15" s="66" t="s">
        <v>102</v>
      </c>
      <c r="C15" s="69"/>
      <c r="D15" s="70">
        <v>0</v>
      </c>
      <c r="E15" s="71">
        <v>0</v>
      </c>
      <c r="F15" s="228"/>
      <c r="G15" s="58"/>
      <c r="H15" s="230"/>
      <c r="I15" s="72"/>
    </row>
    <row r="16" spans="1:10" s="54" customFormat="1" ht="22.5" customHeight="1" x14ac:dyDescent="0.25">
      <c r="A16" s="68" t="s">
        <v>66</v>
      </c>
      <c r="B16" s="66" t="s">
        <v>81</v>
      </c>
      <c r="C16" s="69"/>
      <c r="D16" s="70">
        <v>0</v>
      </c>
      <c r="E16" s="71">
        <v>0</v>
      </c>
      <c r="F16" s="228"/>
      <c r="G16" s="58"/>
      <c r="H16" s="230"/>
      <c r="I16" s="72"/>
    </row>
    <row r="17" spans="1:9" s="54" customFormat="1" ht="22.5" customHeight="1" x14ac:dyDescent="0.25">
      <c r="A17" s="68" t="s">
        <v>60</v>
      </c>
      <c r="B17" s="47" t="s">
        <v>82</v>
      </c>
      <c r="C17" s="69"/>
      <c r="D17" s="70">
        <v>0</v>
      </c>
      <c r="E17" s="71">
        <v>0</v>
      </c>
      <c r="F17" s="228"/>
      <c r="G17" s="58"/>
      <c r="H17" s="230"/>
      <c r="I17" s="72"/>
    </row>
    <row r="18" spans="1:9" s="54" customFormat="1" ht="22.5" customHeight="1" x14ac:dyDescent="0.25">
      <c r="A18" s="68" t="s">
        <v>61</v>
      </c>
      <c r="B18" s="47" t="s">
        <v>83</v>
      </c>
      <c r="C18" s="58"/>
      <c r="D18" s="70">
        <v>1</v>
      </c>
      <c r="E18" s="71">
        <v>3</v>
      </c>
      <c r="F18" s="228"/>
      <c r="G18" s="58"/>
      <c r="H18" s="230"/>
      <c r="I18" s="71">
        <v>0</v>
      </c>
    </row>
    <row r="19" spans="1:9" s="54" customFormat="1" ht="22.5" customHeight="1" x14ac:dyDescent="0.25">
      <c r="A19" s="68" t="s">
        <v>70</v>
      </c>
      <c r="B19" s="47" t="s">
        <v>71</v>
      </c>
      <c r="C19" s="58"/>
      <c r="D19" s="70">
        <v>0</v>
      </c>
      <c r="E19" s="71">
        <v>0</v>
      </c>
      <c r="F19" s="228"/>
      <c r="G19" s="58"/>
      <c r="H19" s="230"/>
      <c r="I19" s="71">
        <v>0</v>
      </c>
    </row>
    <row r="20" spans="1:9" s="1" customFormat="1" ht="14.4" thickBot="1" x14ac:dyDescent="0.3">
      <c r="A20" s="44"/>
      <c r="B20" s="44"/>
      <c r="C20" s="44"/>
      <c r="D20" s="44"/>
      <c r="E20" s="44"/>
      <c r="F20" s="44"/>
      <c r="G20" s="44"/>
      <c r="H20" s="44"/>
      <c r="I20" s="44"/>
    </row>
    <row r="21" spans="1:9" s="73" customFormat="1" ht="19.5" customHeight="1" thickBot="1" x14ac:dyDescent="0.3">
      <c r="A21" s="50" t="s">
        <v>86</v>
      </c>
      <c r="B21" s="51"/>
      <c r="C21" s="74"/>
      <c r="D21" s="78" t="str">
        <f>D9</f>
        <v>Dauer d. Phase [Mo]</v>
      </c>
      <c r="E21" s="79"/>
      <c r="F21" s="80">
        <v>11</v>
      </c>
      <c r="G21" s="74"/>
      <c r="H21" s="130"/>
      <c r="I21" s="51"/>
    </row>
    <row r="22" spans="1:9" s="1" customFormat="1" ht="7.5" customHeight="1" x14ac:dyDescent="0.25">
      <c r="A22" s="44"/>
      <c r="C22" s="44"/>
      <c r="D22" s="53"/>
      <c r="E22" s="44"/>
      <c r="F22" s="44"/>
      <c r="G22" s="44"/>
      <c r="H22" s="44"/>
    </row>
    <row r="23" spans="1:9" s="54" customFormat="1" ht="22.5" customHeight="1" x14ac:dyDescent="0.25">
      <c r="A23" s="68" t="s">
        <v>59</v>
      </c>
      <c r="B23" s="66" t="s">
        <v>76</v>
      </c>
      <c r="C23" s="69"/>
      <c r="D23" s="70">
        <v>1</v>
      </c>
      <c r="E23" s="71">
        <v>8</v>
      </c>
      <c r="F23" s="228"/>
      <c r="G23" s="58"/>
      <c r="H23" s="229"/>
      <c r="I23" s="71">
        <v>0</v>
      </c>
    </row>
    <row r="24" spans="1:9" s="54" customFormat="1" ht="22.5" customHeight="1" x14ac:dyDescent="0.25">
      <c r="A24" s="68" t="s">
        <v>62</v>
      </c>
      <c r="B24" s="66" t="s">
        <v>77</v>
      </c>
      <c r="C24" s="69"/>
      <c r="D24" s="70">
        <v>1</v>
      </c>
      <c r="E24" s="71">
        <v>8</v>
      </c>
      <c r="F24" s="228"/>
      <c r="G24" s="58"/>
      <c r="H24" s="229"/>
      <c r="I24" s="71">
        <v>0</v>
      </c>
    </row>
    <row r="25" spans="1:9" s="54" customFormat="1" ht="22.5" customHeight="1" x14ac:dyDescent="0.25">
      <c r="A25" s="68" t="s">
        <v>63</v>
      </c>
      <c r="B25" s="66" t="s">
        <v>78</v>
      </c>
      <c r="C25" s="69"/>
      <c r="D25" s="70">
        <v>1</v>
      </c>
      <c r="E25" s="71">
        <v>8</v>
      </c>
      <c r="F25" s="228"/>
      <c r="G25" s="58"/>
      <c r="H25" s="229"/>
      <c r="I25" s="71">
        <v>0</v>
      </c>
    </row>
    <row r="26" spans="1:9" s="54" customFormat="1" ht="22.5" customHeight="1" x14ac:dyDescent="0.25">
      <c r="A26" s="68" t="s">
        <v>64</v>
      </c>
      <c r="B26" s="66" t="s">
        <v>79</v>
      </c>
      <c r="C26" s="58"/>
      <c r="D26" s="70">
        <v>1</v>
      </c>
      <c r="E26" s="71">
        <v>8</v>
      </c>
      <c r="F26" s="228"/>
      <c r="G26" s="58"/>
      <c r="H26" s="229"/>
      <c r="I26" s="71">
        <v>0</v>
      </c>
    </row>
    <row r="27" spans="1:9" s="54" customFormat="1" ht="27.6" x14ac:dyDescent="0.25">
      <c r="A27" s="68" t="s">
        <v>65</v>
      </c>
      <c r="B27" s="66" t="s">
        <v>102</v>
      </c>
      <c r="C27" s="58"/>
      <c r="D27" s="70">
        <v>1</v>
      </c>
      <c r="E27" s="71">
        <v>3</v>
      </c>
      <c r="F27" s="228"/>
      <c r="G27" s="58"/>
      <c r="H27" s="229"/>
      <c r="I27" s="71">
        <v>0</v>
      </c>
    </row>
    <row r="28" spans="1:9" s="54" customFormat="1" ht="22.5" customHeight="1" x14ac:dyDescent="0.25">
      <c r="A28" s="68" t="s">
        <v>66</v>
      </c>
      <c r="B28" s="66" t="s">
        <v>81</v>
      </c>
      <c r="C28" s="58"/>
      <c r="D28" s="70">
        <v>1</v>
      </c>
      <c r="E28" s="71">
        <v>3</v>
      </c>
      <c r="F28" s="228"/>
      <c r="G28" s="58"/>
      <c r="H28" s="229"/>
      <c r="I28" s="71">
        <v>0</v>
      </c>
    </row>
    <row r="29" spans="1:9" s="54" customFormat="1" ht="22.5" customHeight="1" x14ac:dyDescent="0.25">
      <c r="A29" s="68" t="s">
        <v>60</v>
      </c>
      <c r="B29" s="47" t="s">
        <v>82</v>
      </c>
      <c r="C29" s="58"/>
      <c r="D29" s="70">
        <v>1</v>
      </c>
      <c r="E29" s="71">
        <v>3</v>
      </c>
      <c r="F29" s="228"/>
      <c r="G29" s="58"/>
      <c r="H29" s="229"/>
      <c r="I29" s="71">
        <v>0</v>
      </c>
    </row>
    <row r="30" spans="1:9" s="54" customFormat="1" ht="22.5" customHeight="1" x14ac:dyDescent="0.25">
      <c r="A30" s="68" t="s">
        <v>61</v>
      </c>
      <c r="B30" s="47" t="s">
        <v>83</v>
      </c>
      <c r="C30" s="58"/>
      <c r="D30" s="70">
        <v>1</v>
      </c>
      <c r="E30" s="71">
        <v>8</v>
      </c>
      <c r="F30" s="228"/>
      <c r="G30" s="58"/>
      <c r="H30" s="229"/>
      <c r="I30" s="71">
        <v>0</v>
      </c>
    </row>
    <row r="31" spans="1:9" s="54" customFormat="1" ht="22.5" customHeight="1" x14ac:dyDescent="0.25">
      <c r="A31" s="68" t="s">
        <v>70</v>
      </c>
      <c r="B31" s="47" t="s">
        <v>71</v>
      </c>
      <c r="C31" s="58"/>
      <c r="D31" s="70">
        <v>0</v>
      </c>
      <c r="E31" s="71">
        <v>0</v>
      </c>
      <c r="F31" s="228"/>
      <c r="G31" s="58"/>
      <c r="H31" s="229"/>
      <c r="I31" s="71">
        <v>0</v>
      </c>
    </row>
    <row r="32" spans="1:9" s="1" customFormat="1" ht="14.4" thickBot="1" x14ac:dyDescent="0.3">
      <c r="A32" s="44"/>
      <c r="B32" s="44"/>
      <c r="C32" s="44"/>
      <c r="D32" s="44"/>
      <c r="E32" s="44"/>
      <c r="F32" s="44"/>
      <c r="G32" s="44"/>
      <c r="H32" s="44"/>
      <c r="I32" s="44"/>
    </row>
    <row r="33" spans="1:9" s="73" customFormat="1" ht="19.5" customHeight="1" thickBot="1" x14ac:dyDescent="0.3">
      <c r="A33" s="50" t="s">
        <v>85</v>
      </c>
      <c r="B33" s="51"/>
      <c r="C33" s="74"/>
      <c r="D33" s="78" t="str">
        <f>D9</f>
        <v>Dauer d. Phase [Mo]</v>
      </c>
      <c r="E33" s="79"/>
      <c r="F33" s="80">
        <v>2</v>
      </c>
      <c r="G33" s="74"/>
      <c r="H33" s="130"/>
      <c r="I33" s="51"/>
    </row>
    <row r="34" spans="1:9" s="1" customFormat="1" ht="7.5" customHeight="1" x14ac:dyDescent="0.25">
      <c r="A34" s="44"/>
      <c r="C34" s="44"/>
      <c r="D34" s="53"/>
      <c r="E34" s="44"/>
      <c r="F34" s="44"/>
      <c r="G34" s="44"/>
      <c r="H34" s="44"/>
    </row>
    <row r="35" spans="1:9" s="54" customFormat="1" ht="22.5" customHeight="1" x14ac:dyDescent="0.25">
      <c r="A35" s="68" t="s">
        <v>59</v>
      </c>
      <c r="B35" s="66" t="s">
        <v>76</v>
      </c>
      <c r="C35" s="58"/>
      <c r="D35" s="70">
        <v>0</v>
      </c>
      <c r="E35" s="71">
        <v>0</v>
      </c>
      <c r="F35" s="228"/>
      <c r="G35" s="58"/>
      <c r="H35" s="229"/>
      <c r="I35" s="71"/>
    </row>
    <row r="36" spans="1:9" s="54" customFormat="1" ht="22.5" customHeight="1" x14ac:dyDescent="0.25">
      <c r="A36" s="68" t="s">
        <v>62</v>
      </c>
      <c r="B36" s="66" t="s">
        <v>77</v>
      </c>
      <c r="C36" s="58"/>
      <c r="D36" s="70">
        <v>0</v>
      </c>
      <c r="E36" s="71">
        <v>0</v>
      </c>
      <c r="F36" s="228"/>
      <c r="G36" s="58"/>
      <c r="H36" s="229"/>
      <c r="I36" s="71"/>
    </row>
    <row r="37" spans="1:9" s="54" customFormat="1" ht="22.5" customHeight="1" x14ac:dyDescent="0.25">
      <c r="A37" s="68" t="s">
        <v>63</v>
      </c>
      <c r="B37" s="66" t="s">
        <v>78</v>
      </c>
      <c r="C37" s="58"/>
      <c r="D37" s="70">
        <v>0</v>
      </c>
      <c r="E37" s="71">
        <v>0</v>
      </c>
      <c r="F37" s="228"/>
      <c r="G37" s="58"/>
      <c r="H37" s="229"/>
      <c r="I37" s="71"/>
    </row>
    <row r="38" spans="1:9" s="54" customFormat="1" ht="22.5" customHeight="1" x14ac:dyDescent="0.25">
      <c r="A38" s="68" t="s">
        <v>64</v>
      </c>
      <c r="B38" s="66" t="s">
        <v>79</v>
      </c>
      <c r="C38" s="58"/>
      <c r="D38" s="70">
        <v>0</v>
      </c>
      <c r="E38" s="71">
        <v>0</v>
      </c>
      <c r="F38" s="228"/>
      <c r="G38" s="58"/>
      <c r="H38" s="229"/>
      <c r="I38" s="71"/>
    </row>
    <row r="39" spans="1:9" s="54" customFormat="1" ht="27.6" x14ac:dyDescent="0.25">
      <c r="A39" s="68" t="s">
        <v>65</v>
      </c>
      <c r="B39" s="66" t="s">
        <v>102</v>
      </c>
      <c r="C39" s="58"/>
      <c r="D39" s="70">
        <v>0</v>
      </c>
      <c r="E39" s="71">
        <v>0</v>
      </c>
      <c r="F39" s="228"/>
      <c r="G39" s="58"/>
      <c r="H39" s="229"/>
      <c r="I39" s="71"/>
    </row>
    <row r="40" spans="1:9" s="54" customFormat="1" ht="22.5" customHeight="1" x14ac:dyDescent="0.25">
      <c r="A40" s="68" t="s">
        <v>66</v>
      </c>
      <c r="B40" s="66" t="s">
        <v>81</v>
      </c>
      <c r="C40" s="58"/>
      <c r="D40" s="70">
        <v>1</v>
      </c>
      <c r="E40" s="71">
        <v>1.5</v>
      </c>
      <c r="F40" s="228"/>
      <c r="G40" s="58"/>
      <c r="H40" s="229"/>
      <c r="I40" s="71"/>
    </row>
    <row r="41" spans="1:9" s="54" customFormat="1" ht="22.5" customHeight="1" x14ac:dyDescent="0.25">
      <c r="A41" s="68" t="s">
        <v>60</v>
      </c>
      <c r="B41" s="47" t="s">
        <v>82</v>
      </c>
      <c r="C41" s="58"/>
      <c r="D41" s="70">
        <v>1</v>
      </c>
      <c r="E41" s="71">
        <v>1.5</v>
      </c>
      <c r="F41" s="228"/>
      <c r="G41" s="58"/>
      <c r="H41" s="229"/>
      <c r="I41" s="71">
        <v>0</v>
      </c>
    </row>
    <row r="42" spans="1:9" s="54" customFormat="1" ht="22.5" customHeight="1" x14ac:dyDescent="0.25">
      <c r="A42" s="68" t="s">
        <v>61</v>
      </c>
      <c r="B42" s="47" t="s">
        <v>83</v>
      </c>
      <c r="C42" s="58"/>
      <c r="D42" s="70">
        <v>1</v>
      </c>
      <c r="E42" s="71">
        <v>1.5</v>
      </c>
      <c r="F42" s="228"/>
      <c r="G42" s="58"/>
      <c r="H42" s="229"/>
      <c r="I42" s="71">
        <v>0</v>
      </c>
    </row>
    <row r="43" spans="1:9" s="54" customFormat="1" ht="22.5" customHeight="1" x14ac:dyDescent="0.25">
      <c r="A43" s="68" t="s">
        <v>70</v>
      </c>
      <c r="B43" s="47" t="s">
        <v>71</v>
      </c>
      <c r="C43" s="58"/>
      <c r="D43" s="70">
        <v>0</v>
      </c>
      <c r="E43" s="71">
        <v>0</v>
      </c>
      <c r="F43" s="228"/>
      <c r="G43" s="58"/>
      <c r="H43" s="229"/>
      <c r="I43" s="71">
        <v>0</v>
      </c>
    </row>
    <row r="44" spans="1:9" s="1" customFormat="1" ht="14.4" thickBot="1" x14ac:dyDescent="0.3">
      <c r="A44" s="44"/>
      <c r="B44" s="44"/>
      <c r="C44" s="44"/>
      <c r="D44" s="44"/>
      <c r="E44" s="44"/>
      <c r="F44" s="44"/>
      <c r="G44" s="44"/>
      <c r="H44" s="93"/>
      <c r="I44" s="44"/>
    </row>
    <row r="45" spans="1:9" ht="16.2" thickBot="1" x14ac:dyDescent="0.35">
      <c r="A45" s="94" t="s">
        <v>126</v>
      </c>
      <c r="B45" s="95"/>
      <c r="D45" s="44"/>
      <c r="E45" s="44"/>
      <c r="F45" s="227">
        <f>SUM(F33,F21,F9)</f>
        <v>16</v>
      </c>
      <c r="G45" s="44"/>
      <c r="H45" s="93"/>
      <c r="I45" s="44"/>
    </row>
    <row r="46" spans="1:9" x14ac:dyDescent="0.25">
      <c r="A46" s="44"/>
      <c r="B46" s="44"/>
      <c r="C46" s="44"/>
      <c r="D46" s="44"/>
      <c r="E46" s="44"/>
      <c r="F46" s="44"/>
      <c r="G46" s="44"/>
      <c r="H46" s="44"/>
      <c r="I46" s="44"/>
    </row>
    <row r="47" spans="1:9" x14ac:dyDescent="0.25">
      <c r="G47" s="44"/>
    </row>
    <row r="48" spans="1:9" x14ac:dyDescent="0.25">
      <c r="G48" s="44"/>
    </row>
    <row r="49" spans="7:7" x14ac:dyDescent="0.25">
      <c r="G49" s="44"/>
    </row>
  </sheetData>
  <mergeCells count="4">
    <mergeCell ref="D6:F6"/>
    <mergeCell ref="D3:I3"/>
    <mergeCell ref="H6:I6"/>
    <mergeCell ref="D4:H4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97" fitToHeight="0" orientation="portrait" horizontalDpi="300" r:id="rId1"/>
  <headerFooter alignWithMargins="0">
    <oddFooter>&amp;L&amp;8Leitfaden Kostenabschätzung der ÖBA Leistung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9"/>
  <sheetViews>
    <sheetView showGridLines="0" zoomScaleNormal="100" zoomScaleSheetLayoutView="145" workbookViewId="0">
      <selection activeCell="H27" sqref="G27:H27"/>
    </sheetView>
  </sheetViews>
  <sheetFormatPr baseColWidth="10" defaultColWidth="11.5546875" defaultRowHeight="13.2" x14ac:dyDescent="0.25"/>
  <cols>
    <col min="1" max="1" width="6.6640625" style="98" customWidth="1"/>
    <col min="2" max="2" width="32" style="98" customWidth="1"/>
    <col min="3" max="3" width="1.44140625" style="98" customWidth="1"/>
    <col min="4" max="13" width="3.33203125" style="98" customWidth="1"/>
    <col min="14" max="25" width="3.33203125" style="99" customWidth="1"/>
    <col min="26" max="29" width="2" style="99" customWidth="1"/>
    <col min="30" max="16384" width="11.5546875" style="98"/>
  </cols>
  <sheetData>
    <row r="1" spans="1:30" ht="37.950000000000003" customHeight="1" thickBot="1" x14ac:dyDescent="0.3"/>
    <row r="2" spans="1:30" ht="46.95" customHeight="1" thickBot="1" x14ac:dyDescent="0.3">
      <c r="A2" s="332" t="s">
        <v>137</v>
      </c>
      <c r="B2" s="333"/>
      <c r="D2" s="331" t="s">
        <v>135</v>
      </c>
      <c r="E2" s="331"/>
      <c r="F2" s="331"/>
      <c r="G2" s="331"/>
      <c r="H2" s="331" t="s">
        <v>134</v>
      </c>
      <c r="I2" s="331"/>
      <c r="J2" s="331"/>
      <c r="K2" s="331"/>
      <c r="L2" s="331" t="s">
        <v>133</v>
      </c>
      <c r="M2" s="331"/>
      <c r="N2" s="331"/>
      <c r="O2" s="331" t="s">
        <v>130</v>
      </c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 t="s">
        <v>132</v>
      </c>
      <c r="AA2" s="331"/>
      <c r="AB2" s="331"/>
      <c r="AC2" s="331"/>
    </row>
    <row r="3" spans="1:30" ht="6" customHeight="1" x14ac:dyDescent="0.25"/>
    <row r="4" spans="1:30" x14ac:dyDescent="0.25">
      <c r="B4" s="100" t="s">
        <v>136</v>
      </c>
      <c r="D4" s="100">
        <v>1</v>
      </c>
      <c r="E4" s="100">
        <v>2</v>
      </c>
      <c r="F4" s="100">
        <v>3</v>
      </c>
      <c r="G4" s="100">
        <v>4</v>
      </c>
      <c r="H4" s="100">
        <v>5</v>
      </c>
      <c r="I4" s="100">
        <v>6</v>
      </c>
      <c r="J4" s="100">
        <v>7</v>
      </c>
      <c r="K4" s="100">
        <v>8</v>
      </c>
      <c r="L4" s="100">
        <v>9</v>
      </c>
      <c r="M4" s="100">
        <v>10</v>
      </c>
      <c r="N4" s="100">
        <v>11</v>
      </c>
      <c r="O4" s="100">
        <v>12</v>
      </c>
      <c r="P4" s="100">
        <v>13</v>
      </c>
      <c r="Q4" s="100">
        <v>14</v>
      </c>
      <c r="R4" s="100">
        <v>15</v>
      </c>
      <c r="S4" s="100">
        <v>16</v>
      </c>
      <c r="T4" s="100">
        <v>17</v>
      </c>
      <c r="U4" s="100">
        <v>18</v>
      </c>
      <c r="V4" s="100">
        <v>19</v>
      </c>
      <c r="W4" s="100">
        <v>20</v>
      </c>
      <c r="X4" s="100">
        <v>21</v>
      </c>
      <c r="Y4" s="100">
        <v>22</v>
      </c>
      <c r="Z4" s="330">
        <v>23</v>
      </c>
      <c r="AA4" s="330"/>
      <c r="AB4" s="330">
        <v>24</v>
      </c>
      <c r="AC4" s="330"/>
    </row>
    <row r="5" spans="1:30" x14ac:dyDescent="0.25">
      <c r="A5" s="105" t="s">
        <v>140</v>
      </c>
      <c r="B5" s="101" t="s">
        <v>76</v>
      </c>
      <c r="D5" s="103"/>
      <c r="E5" s="104"/>
      <c r="F5" s="104"/>
      <c r="G5" s="104"/>
      <c r="H5" s="103"/>
      <c r="I5" s="104"/>
      <c r="J5" s="104"/>
      <c r="K5" s="104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3"/>
      <c r="X5" s="103"/>
      <c r="Y5" s="103"/>
      <c r="Z5" s="102"/>
      <c r="AA5" s="104"/>
      <c r="AB5" s="102"/>
      <c r="AC5" s="104"/>
    </row>
    <row r="6" spans="1:30" x14ac:dyDescent="0.25">
      <c r="A6" s="105" t="s">
        <v>159</v>
      </c>
      <c r="B6" s="101" t="s">
        <v>77</v>
      </c>
      <c r="D6" s="103"/>
      <c r="E6" s="104"/>
      <c r="F6" s="104"/>
      <c r="G6" s="104"/>
      <c r="H6" s="103"/>
      <c r="I6" s="104"/>
      <c r="J6" s="104"/>
      <c r="K6" s="104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3"/>
      <c r="X6" s="103"/>
      <c r="Y6" s="103"/>
      <c r="Z6" s="102"/>
      <c r="AA6" s="104"/>
      <c r="AB6" s="102"/>
      <c r="AC6" s="104"/>
    </row>
    <row r="7" spans="1:30" x14ac:dyDescent="0.25">
      <c r="A7" s="105" t="s">
        <v>141</v>
      </c>
      <c r="B7" s="101" t="s">
        <v>78</v>
      </c>
      <c r="D7" s="103"/>
      <c r="E7" s="104"/>
      <c r="F7" s="104"/>
      <c r="G7" s="104"/>
      <c r="H7" s="103"/>
      <c r="I7" s="104"/>
      <c r="J7" s="104"/>
      <c r="K7" s="104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3"/>
      <c r="X7" s="103"/>
      <c r="Y7" s="103"/>
      <c r="Z7" s="102"/>
      <c r="AA7" s="104"/>
      <c r="AB7" s="102"/>
      <c r="AC7" s="104"/>
    </row>
    <row r="8" spans="1:30" x14ac:dyDescent="0.25">
      <c r="A8" s="105" t="s">
        <v>142</v>
      </c>
      <c r="B8" s="101" t="s">
        <v>79</v>
      </c>
      <c r="D8" s="103"/>
      <c r="E8" s="104"/>
      <c r="F8" s="104"/>
      <c r="G8" s="104"/>
      <c r="H8" s="103"/>
      <c r="I8" s="104"/>
      <c r="J8" s="104"/>
      <c r="K8" s="104"/>
      <c r="L8" s="103"/>
      <c r="M8" s="103"/>
      <c r="N8" s="103"/>
      <c r="O8" s="103"/>
      <c r="P8" s="103"/>
      <c r="Q8" s="103"/>
      <c r="R8" s="107"/>
      <c r="S8" s="107"/>
      <c r="T8" s="107"/>
      <c r="U8" s="107"/>
      <c r="V8" s="107"/>
      <c r="W8" s="107"/>
      <c r="X8" s="107"/>
      <c r="Y8" s="107"/>
      <c r="Z8" s="102"/>
      <c r="AA8" s="104"/>
      <c r="AB8" s="102"/>
      <c r="AC8" s="104"/>
    </row>
    <row r="9" spans="1:30" x14ac:dyDescent="0.25">
      <c r="A9" s="105" t="s">
        <v>143</v>
      </c>
      <c r="B9" s="101" t="s">
        <v>139</v>
      </c>
      <c r="D9" s="103"/>
      <c r="E9" s="104"/>
      <c r="F9" s="104"/>
      <c r="G9" s="104"/>
      <c r="H9" s="103"/>
      <c r="I9" s="104"/>
      <c r="J9" s="104"/>
      <c r="K9" s="104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7"/>
      <c r="X9" s="107"/>
      <c r="Y9" s="107"/>
      <c r="Z9" s="102"/>
      <c r="AA9" s="104"/>
      <c r="AB9" s="102"/>
      <c r="AC9" s="104"/>
    </row>
    <row r="10" spans="1:30" x14ac:dyDescent="0.25">
      <c r="A10" s="105" t="s">
        <v>144</v>
      </c>
      <c r="B10" s="101" t="s">
        <v>138</v>
      </c>
      <c r="D10" s="103"/>
      <c r="E10" s="104"/>
      <c r="F10" s="104"/>
      <c r="G10" s="104"/>
      <c r="H10" s="103"/>
      <c r="I10" s="104"/>
      <c r="J10" s="104"/>
      <c r="K10" s="104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7"/>
      <c r="X10" s="107"/>
      <c r="Y10" s="107"/>
      <c r="Z10" s="108"/>
      <c r="AA10" s="120"/>
      <c r="AB10" s="108"/>
      <c r="AC10" s="104"/>
    </row>
    <row r="11" spans="1:30" x14ac:dyDescent="0.25">
      <c r="A11" s="105" t="s">
        <v>145</v>
      </c>
      <c r="B11" s="101" t="s">
        <v>82</v>
      </c>
      <c r="D11" s="103"/>
      <c r="E11" s="104"/>
      <c r="F11" s="104"/>
      <c r="G11" s="104"/>
      <c r="H11" s="103"/>
      <c r="I11" s="104"/>
      <c r="J11" s="104"/>
      <c r="K11" s="104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7"/>
      <c r="X11" s="107"/>
      <c r="Y11" s="107"/>
      <c r="Z11" s="108"/>
      <c r="AA11" s="120"/>
      <c r="AB11" s="108"/>
      <c r="AC11" s="104"/>
    </row>
    <row r="12" spans="1:30" x14ac:dyDescent="0.25">
      <c r="A12" s="105" t="s">
        <v>146</v>
      </c>
      <c r="B12" s="101" t="s">
        <v>83</v>
      </c>
      <c r="D12" s="103"/>
      <c r="E12" s="104"/>
      <c r="F12" s="104"/>
      <c r="G12" s="104"/>
      <c r="H12" s="103"/>
      <c r="I12" s="104"/>
      <c r="J12" s="104"/>
      <c r="K12" s="104"/>
      <c r="L12" s="107"/>
      <c r="M12" s="107"/>
      <c r="N12" s="107"/>
      <c r="O12" s="103"/>
      <c r="P12" s="103"/>
      <c r="Q12" s="103"/>
      <c r="R12" s="107"/>
      <c r="S12" s="107"/>
      <c r="T12" s="107"/>
      <c r="U12" s="107"/>
      <c r="V12" s="107"/>
      <c r="W12" s="107"/>
      <c r="X12" s="107"/>
      <c r="Y12" s="107"/>
      <c r="Z12" s="102"/>
      <c r="AA12" s="120"/>
      <c r="AB12" s="108"/>
      <c r="AC12" s="120"/>
    </row>
    <row r="13" spans="1:30" x14ac:dyDescent="0.25">
      <c r="A13" s="105" t="s">
        <v>147</v>
      </c>
      <c r="B13" s="101" t="s">
        <v>71</v>
      </c>
      <c r="D13" s="103"/>
      <c r="E13" s="104"/>
      <c r="F13" s="104"/>
      <c r="G13" s="104"/>
      <c r="H13" s="103"/>
      <c r="I13" s="104"/>
      <c r="J13" s="104"/>
      <c r="K13" s="104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2"/>
      <c r="AA13" s="104"/>
      <c r="AB13" s="102"/>
      <c r="AC13" s="104"/>
      <c r="AD13" s="109"/>
    </row>
    <row r="14" spans="1:30" s="99" customFormat="1" ht="3.75" customHeight="1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Y14" s="98"/>
    </row>
    <row r="15" spans="1:30" customFormat="1" ht="6" customHeight="1" x14ac:dyDescent="0.25"/>
    <row r="16" spans="1:30" s="99" customFormat="1" x14ac:dyDescent="0.25">
      <c r="A16" s="98"/>
      <c r="B16" s="98"/>
      <c r="C16" s="98"/>
      <c r="D16" s="109"/>
      <c r="E16" s="109"/>
      <c r="F16" s="109"/>
      <c r="G16" s="98"/>
      <c r="H16" s="109"/>
      <c r="I16" s="109"/>
      <c r="J16" s="109"/>
      <c r="K16" s="98"/>
      <c r="L16" s="98"/>
      <c r="M16" s="98"/>
    </row>
    <row r="17" spans="1:25" s="99" customFormat="1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</row>
    <row r="19" spans="1:25" x14ac:dyDescent="0.25">
      <c r="B19" s="106"/>
    </row>
  </sheetData>
  <mergeCells count="8">
    <mergeCell ref="Z4:AA4"/>
    <mergeCell ref="AB4:AC4"/>
    <mergeCell ref="O2:Y2"/>
    <mergeCell ref="A2:B2"/>
    <mergeCell ref="H2:K2"/>
    <mergeCell ref="L2:N2"/>
    <mergeCell ref="Z2:AC2"/>
    <mergeCell ref="D2:G2"/>
  </mergeCells>
  <pageMargins left="0.78740157499999996" right="0.78740157499999996" top="0.984251969" bottom="0.984251969" header="0.4921259845" footer="0.4921259845"/>
  <pageSetup paperSize="9" scale="59" orientation="portrait" r:id="rId1"/>
  <headerFooter alignWithMargins="0"/>
  <colBreaks count="1" manualBreakCount="1">
    <brk id="2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zoomScale="70" zoomScaleNormal="70" zoomScaleSheetLayoutView="85" workbookViewId="0">
      <selection activeCell="D11" sqref="D11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9" customWidth="1"/>
    <col min="3" max="3" width="7.88671875" style="19" customWidth="1"/>
    <col min="4" max="4" width="9.109375" style="19" customWidth="1"/>
    <col min="5" max="5" width="8.6640625" style="19" customWidth="1"/>
    <col min="6" max="6" width="0.6640625" style="19" customWidth="1"/>
    <col min="7" max="7" width="32.109375" style="10" customWidth="1"/>
    <col min="8" max="8" width="0.88671875" style="19" customWidth="1"/>
    <col min="9" max="9" width="59" style="6" customWidth="1"/>
    <col min="10" max="16384" width="11.44140625" style="2"/>
  </cols>
  <sheetData>
    <row r="1" spans="1:9" ht="17.399999999999999" x14ac:dyDescent="0.25">
      <c r="A1" s="64" t="s">
        <v>106</v>
      </c>
      <c r="B1" s="64"/>
    </row>
    <row r="2" spans="1:9" x14ac:dyDescent="0.25">
      <c r="A2" s="4"/>
      <c r="B2" s="28"/>
      <c r="C2" s="28"/>
      <c r="D2" s="28"/>
      <c r="E2" s="28"/>
      <c r="F2" s="28"/>
      <c r="G2" s="27"/>
      <c r="H2" s="28"/>
    </row>
    <row r="3" spans="1:9" s="3" customFormat="1" ht="14.25" customHeight="1" x14ac:dyDescent="0.25">
      <c r="A3" s="23"/>
      <c r="B3" s="25" t="s">
        <v>5</v>
      </c>
      <c r="C3" s="26" t="s">
        <v>0</v>
      </c>
      <c r="D3" s="26" t="s">
        <v>75</v>
      </c>
      <c r="E3" s="26" t="s">
        <v>1</v>
      </c>
      <c r="F3" s="28"/>
      <c r="G3" s="35"/>
      <c r="H3" s="26"/>
      <c r="I3" s="232" t="s">
        <v>100</v>
      </c>
    </row>
    <row r="4" spans="1:9" s="7" customFormat="1" ht="27" thickBot="1" x14ac:dyDescent="0.3">
      <c r="A4" s="7" t="s">
        <v>6</v>
      </c>
      <c r="B4" s="8" t="s">
        <v>7</v>
      </c>
      <c r="C4" s="239">
        <v>1</v>
      </c>
      <c r="D4" s="236">
        <f>AVERAGE(D5:D8)</f>
        <v>15</v>
      </c>
      <c r="E4" s="239">
        <v>30</v>
      </c>
      <c r="F4" s="28"/>
      <c r="G4" s="36" t="s">
        <v>74</v>
      </c>
      <c r="H4" s="26"/>
      <c r="I4" s="9"/>
    </row>
    <row r="5" spans="1:9" s="10" customFormat="1" ht="40.200000000000003" thickBot="1" x14ac:dyDescent="0.3">
      <c r="A5" s="27"/>
      <c r="B5" s="11" t="s">
        <v>8</v>
      </c>
      <c r="C5" s="234" t="s">
        <v>9</v>
      </c>
      <c r="D5" s="238">
        <v>15</v>
      </c>
      <c r="E5" s="235" t="s">
        <v>10</v>
      </c>
      <c r="F5" s="28"/>
      <c r="G5" s="272" t="s">
        <v>214</v>
      </c>
      <c r="H5" s="30"/>
      <c r="I5" s="233" t="s">
        <v>99</v>
      </c>
    </row>
    <row r="6" spans="1:9" s="10" customFormat="1" ht="53.4" thickBot="1" x14ac:dyDescent="0.3">
      <c r="A6" s="27"/>
      <c r="B6" s="11" t="s">
        <v>11</v>
      </c>
      <c r="C6" s="12" t="s">
        <v>12</v>
      </c>
      <c r="D6" s="13">
        <v>20</v>
      </c>
      <c r="E6" s="14" t="s">
        <v>13</v>
      </c>
      <c r="F6" s="28"/>
      <c r="G6" s="272" t="s">
        <v>215</v>
      </c>
      <c r="H6" s="30"/>
      <c r="I6" s="233" t="s">
        <v>14</v>
      </c>
    </row>
    <row r="7" spans="1:9" s="10" customFormat="1" ht="13.8" thickBot="1" x14ac:dyDescent="0.3">
      <c r="A7" s="27"/>
      <c r="B7" s="11" t="s">
        <v>15</v>
      </c>
      <c r="C7" s="12" t="s">
        <v>10</v>
      </c>
      <c r="D7" s="13">
        <v>10</v>
      </c>
      <c r="E7" s="14" t="s">
        <v>9</v>
      </c>
      <c r="F7" s="28"/>
      <c r="G7" s="272" t="s">
        <v>216</v>
      </c>
      <c r="H7" s="30"/>
      <c r="I7" s="233" t="s">
        <v>16</v>
      </c>
    </row>
    <row r="8" spans="1:9" s="10" customFormat="1" ht="13.8" thickBot="1" x14ac:dyDescent="0.3">
      <c r="A8" s="27"/>
      <c r="B8" s="76" t="s">
        <v>17</v>
      </c>
      <c r="C8" s="12"/>
      <c r="D8" s="13"/>
      <c r="E8" s="14"/>
      <c r="F8" s="28"/>
      <c r="G8" s="272"/>
      <c r="H8" s="30"/>
      <c r="I8" s="233" t="s">
        <v>18</v>
      </c>
    </row>
    <row r="9" spans="1:9" x14ac:dyDescent="0.25">
      <c r="A9" s="4"/>
      <c r="B9" s="28"/>
      <c r="C9" s="28"/>
      <c r="D9" s="28"/>
      <c r="E9" s="28"/>
      <c r="F9" s="28"/>
      <c r="G9" s="27"/>
      <c r="H9" s="28"/>
    </row>
    <row r="10" spans="1:9" s="7" customFormat="1" ht="26.4" x14ac:dyDescent="0.25">
      <c r="A10" s="7" t="s">
        <v>19</v>
      </c>
      <c r="B10" s="8" t="s">
        <v>20</v>
      </c>
      <c r="C10" s="239">
        <v>1</v>
      </c>
      <c r="D10" s="237">
        <v>16</v>
      </c>
      <c r="E10" s="239">
        <v>30</v>
      </c>
      <c r="F10" s="28"/>
      <c r="G10" s="272" t="s">
        <v>217</v>
      </c>
      <c r="H10" s="26"/>
      <c r="I10" s="9"/>
    </row>
    <row r="11" spans="1:9" x14ac:dyDescent="0.25">
      <c r="B11" s="28"/>
      <c r="C11" s="28"/>
      <c r="D11" s="28"/>
      <c r="E11" s="28"/>
      <c r="F11" s="28"/>
      <c r="G11" s="27"/>
      <c r="H11" s="28"/>
    </row>
    <row r="12" spans="1:9" s="7" customFormat="1" ht="13.8" thickBot="1" x14ac:dyDescent="0.3">
      <c r="A12" s="7" t="s">
        <v>21</v>
      </c>
      <c r="B12" s="8" t="s">
        <v>87</v>
      </c>
      <c r="C12" s="240">
        <f>$C$4</f>
        <v>1</v>
      </c>
      <c r="D12" s="236">
        <f>AVERAGE(D13:D17)</f>
        <v>13.75</v>
      </c>
      <c r="E12" s="241">
        <f>$E$4</f>
        <v>30</v>
      </c>
      <c r="F12" s="28"/>
      <c r="G12" s="36"/>
      <c r="H12" s="26"/>
      <c r="I12" s="9"/>
    </row>
    <row r="13" spans="1:9" s="10" customFormat="1" ht="40.200000000000003" thickBot="1" x14ac:dyDescent="0.3">
      <c r="A13" s="27"/>
      <c r="B13" s="11" t="s">
        <v>88</v>
      </c>
      <c r="C13" s="234" t="s">
        <v>22</v>
      </c>
      <c r="D13" s="238">
        <v>15</v>
      </c>
      <c r="E13" s="235" t="s">
        <v>10</v>
      </c>
      <c r="F13" s="28"/>
      <c r="G13" s="272" t="s">
        <v>218</v>
      </c>
      <c r="H13" s="30"/>
      <c r="I13" s="233" t="s">
        <v>23</v>
      </c>
    </row>
    <row r="14" spans="1:9" s="10" customFormat="1" ht="40.200000000000003" thickBot="1" x14ac:dyDescent="0.3">
      <c r="A14" s="27"/>
      <c r="B14" s="11" t="s">
        <v>24</v>
      </c>
      <c r="C14" s="12" t="s">
        <v>9</v>
      </c>
      <c r="D14" s="13">
        <v>20</v>
      </c>
      <c r="E14" s="14" t="s">
        <v>10</v>
      </c>
      <c r="F14" s="28"/>
      <c r="G14" s="272" t="s">
        <v>219</v>
      </c>
      <c r="H14" s="30"/>
      <c r="I14" s="233" t="s">
        <v>25</v>
      </c>
    </row>
    <row r="15" spans="1:9" s="10" customFormat="1" ht="27" thickBot="1" x14ac:dyDescent="0.3">
      <c r="A15" s="27"/>
      <c r="B15" s="11" t="s">
        <v>89</v>
      </c>
      <c r="C15" s="12" t="s">
        <v>9</v>
      </c>
      <c r="D15" s="13">
        <v>10</v>
      </c>
      <c r="E15" s="14" t="s">
        <v>10</v>
      </c>
      <c r="F15" s="28"/>
      <c r="G15" s="272" t="s">
        <v>220</v>
      </c>
      <c r="H15" s="30"/>
      <c r="I15" s="233" t="s">
        <v>26</v>
      </c>
    </row>
    <row r="16" spans="1:9" s="10" customFormat="1" ht="27" thickBot="1" x14ac:dyDescent="0.3">
      <c r="A16" s="27"/>
      <c r="B16" s="11" t="s">
        <v>27</v>
      </c>
      <c r="C16" s="12" t="s">
        <v>12</v>
      </c>
      <c r="D16" s="13">
        <v>10</v>
      </c>
      <c r="E16" s="14" t="s">
        <v>13</v>
      </c>
      <c r="F16" s="28"/>
      <c r="G16" s="272" t="s">
        <v>220</v>
      </c>
      <c r="H16" s="30"/>
      <c r="I16" s="233" t="s">
        <v>28</v>
      </c>
    </row>
    <row r="17" spans="1:9" s="10" customFormat="1" ht="13.8" thickBot="1" x14ac:dyDescent="0.3">
      <c r="A17" s="27"/>
      <c r="B17" s="76" t="s">
        <v>29</v>
      </c>
      <c r="C17" s="12"/>
      <c r="D17" s="13"/>
      <c r="E17" s="14"/>
      <c r="F17" s="28"/>
      <c r="G17" s="272"/>
      <c r="H17" s="30"/>
      <c r="I17" s="233" t="s">
        <v>18</v>
      </c>
    </row>
    <row r="18" spans="1:9" x14ac:dyDescent="0.25">
      <c r="A18" s="4"/>
      <c r="B18" s="28"/>
      <c r="C18" s="28"/>
      <c r="D18" s="28"/>
      <c r="E18" s="28"/>
      <c r="F18" s="28"/>
      <c r="G18" s="27"/>
      <c r="H18" s="28"/>
    </row>
    <row r="19" spans="1:9" s="15" customFormat="1" ht="13.8" thickBot="1" x14ac:dyDescent="0.3">
      <c r="A19" s="15" t="s">
        <v>30</v>
      </c>
      <c r="B19" s="16" t="s">
        <v>94</v>
      </c>
      <c r="C19" s="240">
        <f>$C$4</f>
        <v>1</v>
      </c>
      <c r="D19" s="236">
        <f>AVERAGE(D20:D25)</f>
        <v>11.8</v>
      </c>
      <c r="E19" s="241">
        <f>$E$4</f>
        <v>30</v>
      </c>
      <c r="F19" s="28"/>
      <c r="G19" s="36"/>
      <c r="H19" s="26"/>
      <c r="I19" s="17"/>
    </row>
    <row r="20" spans="1:9" s="10" customFormat="1" ht="27" thickBot="1" x14ac:dyDescent="0.3">
      <c r="A20" s="27"/>
      <c r="B20" s="11" t="s">
        <v>31</v>
      </c>
      <c r="C20" s="234" t="s">
        <v>22</v>
      </c>
      <c r="D20" s="238">
        <v>15</v>
      </c>
      <c r="E20" s="235" t="s">
        <v>10</v>
      </c>
      <c r="F20" s="28"/>
      <c r="G20" s="272" t="s">
        <v>221</v>
      </c>
      <c r="H20" s="30"/>
      <c r="I20" s="233" t="s">
        <v>32</v>
      </c>
    </row>
    <row r="21" spans="1:9" s="10" customFormat="1" ht="27" thickBot="1" x14ac:dyDescent="0.3">
      <c r="A21" s="27"/>
      <c r="B21" s="11" t="s">
        <v>33</v>
      </c>
      <c r="C21" s="12" t="s">
        <v>22</v>
      </c>
      <c r="D21" s="13">
        <v>18</v>
      </c>
      <c r="E21" s="14" t="s">
        <v>10</v>
      </c>
      <c r="F21" s="28"/>
      <c r="G21" s="272" t="s">
        <v>222</v>
      </c>
      <c r="H21" s="30"/>
      <c r="I21" s="233" t="s">
        <v>34</v>
      </c>
    </row>
    <row r="22" spans="1:9" s="10" customFormat="1" ht="27" thickBot="1" x14ac:dyDescent="0.3">
      <c r="A22" s="27"/>
      <c r="B22" s="11" t="s">
        <v>35</v>
      </c>
      <c r="C22" s="12" t="s">
        <v>22</v>
      </c>
      <c r="D22" s="13">
        <v>3</v>
      </c>
      <c r="E22" s="14" t="s">
        <v>10</v>
      </c>
      <c r="F22" s="28"/>
      <c r="G22" s="272" t="s">
        <v>223</v>
      </c>
      <c r="H22" s="30"/>
      <c r="I22" s="233" t="s">
        <v>36</v>
      </c>
    </row>
    <row r="23" spans="1:9" s="10" customFormat="1" ht="27" thickBot="1" x14ac:dyDescent="0.3">
      <c r="A23" s="27"/>
      <c r="B23" s="11" t="s">
        <v>37</v>
      </c>
      <c r="C23" s="12" t="s">
        <v>22</v>
      </c>
      <c r="D23" s="13">
        <v>16</v>
      </c>
      <c r="E23" s="14" t="s">
        <v>10</v>
      </c>
      <c r="F23" s="28"/>
      <c r="G23" s="272" t="s">
        <v>224</v>
      </c>
      <c r="H23" s="30"/>
      <c r="I23" s="233" t="s">
        <v>38</v>
      </c>
    </row>
    <row r="24" spans="1:9" s="10" customFormat="1" ht="27" thickBot="1" x14ac:dyDescent="0.3">
      <c r="A24" s="27"/>
      <c r="B24" s="11" t="s">
        <v>39</v>
      </c>
      <c r="C24" s="12" t="s">
        <v>22</v>
      </c>
      <c r="D24" s="13">
        <v>7</v>
      </c>
      <c r="E24" s="14" t="s">
        <v>10</v>
      </c>
      <c r="F24" s="28"/>
      <c r="G24" s="272" t="s">
        <v>225</v>
      </c>
      <c r="H24" s="30"/>
      <c r="I24" s="233" t="s">
        <v>40</v>
      </c>
    </row>
    <row r="25" spans="1:9" s="10" customFormat="1" ht="13.8" thickBot="1" x14ac:dyDescent="0.3">
      <c r="A25" s="27"/>
      <c r="B25" s="76" t="s">
        <v>41</v>
      </c>
      <c r="C25" s="12"/>
      <c r="D25" s="13"/>
      <c r="E25" s="14"/>
      <c r="F25" s="28"/>
      <c r="G25" s="272"/>
      <c r="H25" s="30"/>
      <c r="I25" s="233" t="s">
        <v>18</v>
      </c>
    </row>
    <row r="26" spans="1:9" x14ac:dyDescent="0.25">
      <c r="A26" s="4"/>
      <c r="B26" s="28"/>
      <c r="C26" s="28"/>
      <c r="D26" s="28"/>
      <c r="E26" s="28"/>
      <c r="F26" s="28"/>
      <c r="G26" s="27"/>
      <c r="H26" s="28"/>
    </row>
    <row r="27" spans="1:9" s="15" customFormat="1" ht="27" thickBot="1" x14ac:dyDescent="0.3">
      <c r="A27" s="15" t="s">
        <v>42</v>
      </c>
      <c r="B27" s="16" t="s">
        <v>90</v>
      </c>
      <c r="C27" s="240">
        <f>$C$4</f>
        <v>1</v>
      </c>
      <c r="D27" s="236">
        <f>AVERAGE(D28:D30)</f>
        <v>16.5</v>
      </c>
      <c r="E27" s="241">
        <f>$E$4</f>
        <v>30</v>
      </c>
      <c r="F27" s="28"/>
      <c r="G27" s="36"/>
      <c r="H27" s="26"/>
      <c r="I27" s="18"/>
    </row>
    <row r="28" spans="1:9" s="10" customFormat="1" ht="27" thickBot="1" x14ac:dyDescent="0.3">
      <c r="A28" s="27"/>
      <c r="B28" s="11" t="s">
        <v>91</v>
      </c>
      <c r="C28" s="234" t="s">
        <v>43</v>
      </c>
      <c r="D28" s="238">
        <v>14</v>
      </c>
      <c r="E28" s="235" t="s">
        <v>44</v>
      </c>
      <c r="F28" s="28"/>
      <c r="G28" s="272" t="s">
        <v>226</v>
      </c>
      <c r="H28" s="30"/>
      <c r="I28" s="233" t="s">
        <v>45</v>
      </c>
    </row>
    <row r="29" spans="1:9" s="10" customFormat="1" ht="27" thickBot="1" x14ac:dyDescent="0.3">
      <c r="A29" s="27"/>
      <c r="B29" s="11" t="s">
        <v>46</v>
      </c>
      <c r="C29" s="12" t="s">
        <v>101</v>
      </c>
      <c r="D29" s="13">
        <v>19</v>
      </c>
      <c r="E29" s="14" t="s">
        <v>47</v>
      </c>
      <c r="F29" s="28"/>
      <c r="G29" s="272" t="s">
        <v>227</v>
      </c>
      <c r="H29" s="30"/>
      <c r="I29" s="233" t="s">
        <v>48</v>
      </c>
    </row>
    <row r="30" spans="1:9" s="10" customFormat="1" ht="13.8" thickBot="1" x14ac:dyDescent="0.3">
      <c r="A30" s="27"/>
      <c r="B30" s="76" t="s">
        <v>29</v>
      </c>
      <c r="C30" s="12"/>
      <c r="D30" s="13"/>
      <c r="E30" s="14"/>
      <c r="F30" s="28"/>
      <c r="G30" s="272"/>
      <c r="H30" s="30"/>
      <c r="I30" s="233" t="s">
        <v>18</v>
      </c>
    </row>
    <row r="31" spans="1:9" x14ac:dyDescent="0.25">
      <c r="A31" s="4"/>
      <c r="B31" s="28"/>
      <c r="C31" s="28"/>
      <c r="D31" s="28"/>
      <c r="E31" s="28"/>
      <c r="F31" s="28"/>
      <c r="G31" s="34"/>
      <c r="H31" s="28"/>
    </row>
    <row r="32" spans="1:9" s="3" customFormat="1" ht="14.25" customHeight="1" x14ac:dyDescent="0.25">
      <c r="A32" s="23"/>
      <c r="B32" s="25" t="s">
        <v>5</v>
      </c>
      <c r="C32" s="26" t="s">
        <v>0</v>
      </c>
      <c r="D32" s="26" t="s">
        <v>75</v>
      </c>
      <c r="E32" s="26" t="s">
        <v>1</v>
      </c>
      <c r="F32" s="28"/>
      <c r="G32" s="35"/>
      <c r="H32" s="26"/>
      <c r="I32" s="6"/>
    </row>
    <row r="33" spans="1:9" s="15" customFormat="1" ht="27" thickBot="1" x14ac:dyDescent="0.3">
      <c r="A33" s="15" t="s">
        <v>49</v>
      </c>
      <c r="B33" s="16" t="s">
        <v>92</v>
      </c>
      <c r="C33" s="240">
        <f>$C$4</f>
        <v>1</v>
      </c>
      <c r="D33" s="236">
        <f>AVERAGE(D34:D36)</f>
        <v>13</v>
      </c>
      <c r="E33" s="241">
        <f>$E$4</f>
        <v>30</v>
      </c>
      <c r="F33" s="28"/>
      <c r="G33" s="36"/>
      <c r="H33" s="26"/>
      <c r="I33" s="17"/>
    </row>
    <row r="34" spans="1:9" s="10" customFormat="1" ht="27" thickBot="1" x14ac:dyDescent="0.3">
      <c r="A34" s="27"/>
      <c r="B34" s="11" t="s">
        <v>50</v>
      </c>
      <c r="C34" s="234" t="s">
        <v>22</v>
      </c>
      <c r="D34" s="238">
        <v>14</v>
      </c>
      <c r="E34" s="235" t="s">
        <v>10</v>
      </c>
      <c r="F34" s="28"/>
      <c r="G34" s="272" t="s">
        <v>228</v>
      </c>
      <c r="H34" s="30"/>
      <c r="I34" s="233" t="s">
        <v>51</v>
      </c>
    </row>
    <row r="35" spans="1:9" s="10" customFormat="1" ht="27" thickBot="1" x14ac:dyDescent="0.3">
      <c r="A35" s="27"/>
      <c r="B35" s="11" t="s">
        <v>93</v>
      </c>
      <c r="C35" s="12" t="s">
        <v>22</v>
      </c>
      <c r="D35" s="13">
        <v>12</v>
      </c>
      <c r="E35" s="14" t="s">
        <v>10</v>
      </c>
      <c r="F35" s="28"/>
      <c r="G35" s="272" t="s">
        <v>229</v>
      </c>
      <c r="H35" s="30"/>
      <c r="I35" s="233" t="s">
        <v>52</v>
      </c>
    </row>
    <row r="36" spans="1:9" s="10" customFormat="1" ht="13.8" thickBot="1" x14ac:dyDescent="0.3">
      <c r="A36" s="27"/>
      <c r="B36" s="76" t="s">
        <v>29</v>
      </c>
      <c r="C36" s="12"/>
      <c r="D36" s="13"/>
      <c r="E36" s="14"/>
      <c r="F36" s="28"/>
      <c r="G36" s="272"/>
      <c r="H36" s="30"/>
      <c r="I36" s="233" t="s">
        <v>18</v>
      </c>
    </row>
    <row r="37" spans="1:9" x14ac:dyDescent="0.25">
      <c r="A37" s="4"/>
      <c r="B37" s="28"/>
      <c r="C37" s="28"/>
      <c r="D37" s="28"/>
      <c r="E37" s="28"/>
      <c r="F37" s="28"/>
      <c r="G37" s="27"/>
      <c r="H37" s="28"/>
    </row>
    <row r="38" spans="1:9" s="3" customFormat="1" ht="13.8" thickBot="1" x14ac:dyDescent="0.3">
      <c r="A38" s="20"/>
      <c r="B38" s="21" t="s">
        <v>3</v>
      </c>
      <c r="C38" s="22"/>
      <c r="D38" s="236">
        <f>D33+D27+D19+D12+D10+D4</f>
        <v>86.05</v>
      </c>
      <c r="E38" s="15"/>
      <c r="F38" s="28"/>
      <c r="G38" s="37"/>
      <c r="H38" s="31"/>
    </row>
    <row r="39" spans="1:9" ht="13.8" thickBot="1" x14ac:dyDescent="0.3">
      <c r="A39" s="4"/>
      <c r="B39" s="28"/>
      <c r="C39" s="28"/>
      <c r="E39" s="28"/>
      <c r="F39" s="28"/>
      <c r="G39" s="27"/>
      <c r="H39" s="28"/>
    </row>
    <row r="40" spans="1:9" ht="18" thickBot="1" x14ac:dyDescent="0.35">
      <c r="A40" s="23"/>
      <c r="B40" s="24"/>
      <c r="C40" s="29" t="s">
        <v>4</v>
      </c>
      <c r="D40" s="231">
        <f>IF(D38&lt;120,0.0083*D38+0.5,0.025*D38-1.5)</f>
        <v>1.2142149999999998</v>
      </c>
      <c r="E40" s="4"/>
      <c r="F40" s="28"/>
      <c r="G40" s="38"/>
      <c r="H40" s="4"/>
    </row>
    <row r="41" spans="1:9" x14ac:dyDescent="0.25">
      <c r="A41" s="4"/>
      <c r="B41" s="28"/>
      <c r="C41" s="28"/>
      <c r="D41" s="28"/>
      <c r="E41" s="28"/>
      <c r="F41" s="28"/>
      <c r="G41" s="27"/>
      <c r="H41" s="28"/>
    </row>
  </sheetData>
  <phoneticPr fontId="8" type="noConversion"/>
  <conditionalFormatting sqref="D5:D8 D13:D17 D20:D25 D28:D30 D34:D36">
    <cfRule type="expression" dxfId="0" priority="1" stopIfTrue="1">
      <formula>$D5&gt;30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 der ÖBA Leistung  /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M43"/>
  <sheetViews>
    <sheetView showGridLines="0" zoomScaleNormal="100" zoomScaleSheetLayoutView="100" workbookViewId="0">
      <selection activeCell="A16" sqref="A16:E16"/>
    </sheetView>
  </sheetViews>
  <sheetFormatPr baseColWidth="10" defaultRowHeight="13.2" x14ac:dyDescent="0.25"/>
  <cols>
    <col min="1" max="1" width="10.44140625" customWidth="1"/>
    <col min="2" max="2" width="6.88671875" hidden="1" customWidth="1"/>
    <col min="3" max="3" width="3.6640625" customWidth="1"/>
    <col min="4" max="4" width="8.44140625" customWidth="1"/>
    <col min="5" max="5" width="6.109375" customWidth="1"/>
    <col min="6" max="6" width="7.88671875" customWidth="1"/>
    <col min="7" max="8" width="6.109375" bestFit="1" customWidth="1"/>
    <col min="9" max="15" width="7" bestFit="1" customWidth="1"/>
    <col min="16" max="16" width="7.44140625" bestFit="1" customWidth="1"/>
    <col min="17" max="20" width="7" bestFit="1" customWidth="1"/>
    <col min="21" max="21" width="6.109375" bestFit="1" customWidth="1"/>
    <col min="22" max="22" width="9.44140625" style="42" customWidth="1"/>
    <col min="23" max="23" width="11.44140625" customWidth="1"/>
    <col min="24" max="24" width="14.6640625" bestFit="1" customWidth="1"/>
    <col min="26" max="26" width="11.5546875" bestFit="1" customWidth="1"/>
    <col min="27" max="27" width="11.5546875" customWidth="1"/>
    <col min="28" max="29" width="11.5546875" bestFit="1" customWidth="1"/>
    <col min="30" max="30" width="11.5546875" customWidth="1"/>
    <col min="31" max="31" width="11.5546875" bestFit="1" customWidth="1"/>
  </cols>
  <sheetData>
    <row r="1" spans="1:53" ht="17.399999999999999" x14ac:dyDescent="0.3">
      <c r="A1" s="65" t="s">
        <v>153</v>
      </c>
    </row>
    <row r="2" spans="1:53" ht="17.399999999999999" x14ac:dyDescent="0.3">
      <c r="A2" s="65"/>
    </row>
    <row r="3" spans="1:53" s="33" customFormat="1" ht="15.6" x14ac:dyDescent="0.3">
      <c r="A3" s="32" t="s">
        <v>53</v>
      </c>
      <c r="B3" s="32"/>
      <c r="C3" s="32"/>
      <c r="E3" s="253" t="str">
        <f>Projektannahmen!B3</f>
        <v>Bürogebäude 3-stöckig, Salzburg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5"/>
      <c r="V3" s="220"/>
      <c r="W3" s="220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53" s="33" customFormat="1" ht="15.6" x14ac:dyDescent="0.3">
      <c r="A4" s="32" t="s">
        <v>54</v>
      </c>
      <c r="B4" s="32"/>
      <c r="C4" s="32"/>
      <c r="E4" s="253" t="str">
        <f>Projektannahmen!B4</f>
        <v>AG 02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5"/>
      <c r="V4" s="220"/>
      <c r="W4" s="220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53" s="33" customFormat="1" ht="15.6" x14ac:dyDescent="0.3">
      <c r="A5" s="32"/>
      <c r="B5" s="32"/>
      <c r="C5" s="32"/>
      <c r="D5" s="126"/>
      <c r="E5" s="126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3"/>
      <c r="W5" s="126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53" ht="21.75" customHeight="1" thickBot="1" x14ac:dyDescent="0.3">
      <c r="A6" s="345" t="s">
        <v>149</v>
      </c>
      <c r="B6" s="144"/>
      <c r="C6" s="344" t="s">
        <v>155</v>
      </c>
      <c r="D6" s="344" t="s">
        <v>164</v>
      </c>
      <c r="E6" s="344" t="s">
        <v>115</v>
      </c>
      <c r="F6" s="334" t="s">
        <v>162</v>
      </c>
      <c r="G6" s="335"/>
      <c r="H6" s="336"/>
      <c r="I6" s="334" t="s">
        <v>130</v>
      </c>
      <c r="J6" s="335"/>
      <c r="K6" s="335"/>
      <c r="L6" s="335"/>
      <c r="M6" s="335"/>
      <c r="N6" s="335"/>
      <c r="O6" s="335"/>
      <c r="P6" s="335"/>
      <c r="Q6" s="335"/>
      <c r="R6" s="335"/>
      <c r="S6" s="336"/>
      <c r="T6" s="334" t="s">
        <v>163</v>
      </c>
      <c r="U6" s="336"/>
      <c r="V6" s="214"/>
      <c r="W6" s="285"/>
      <c r="Z6" s="277" t="s">
        <v>171</v>
      </c>
      <c r="AA6" s="274"/>
      <c r="AB6" s="274"/>
      <c r="AC6" s="274"/>
      <c r="AE6" t="str">
        <f>A9</f>
        <v>ÖBA-Leiter</v>
      </c>
      <c r="AK6" s="315" t="str">
        <f>A12</f>
        <v>Techniker</v>
      </c>
      <c r="AL6" s="315"/>
      <c r="AM6" s="315"/>
      <c r="AN6" s="315"/>
      <c r="AO6" s="315"/>
      <c r="AP6" s="110"/>
      <c r="AQ6" s="315" t="str">
        <f>A15</f>
        <v>Sekretariat</v>
      </c>
      <c r="AR6" s="315"/>
      <c r="AS6" s="315"/>
      <c r="AT6" s="315"/>
      <c r="AU6" s="315"/>
      <c r="AW6" s="315" t="s">
        <v>251</v>
      </c>
      <c r="AX6" s="1"/>
      <c r="AY6" s="1"/>
      <c r="AZ6" s="1"/>
      <c r="BA6" s="1"/>
    </row>
    <row r="7" spans="1:53" s="111" customFormat="1" ht="19.5" customHeight="1" thickBot="1" x14ac:dyDescent="0.3">
      <c r="A7" s="345"/>
      <c r="B7" s="345" t="s">
        <v>148</v>
      </c>
      <c r="C7" s="344"/>
      <c r="D7" s="344"/>
      <c r="E7" s="344"/>
      <c r="F7" s="340" t="s">
        <v>150</v>
      </c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214"/>
      <c r="W7" s="286"/>
      <c r="Z7" s="273" t="s">
        <v>129</v>
      </c>
      <c r="AA7" s="273" t="s">
        <v>130</v>
      </c>
      <c r="AB7" s="273" t="s">
        <v>131</v>
      </c>
      <c r="AC7" s="273"/>
      <c r="AE7" s="294"/>
      <c r="AF7" s="295"/>
      <c r="AG7" s="295"/>
      <c r="AH7" s="296" t="s">
        <v>239</v>
      </c>
      <c r="AI7" s="297" t="s">
        <v>2</v>
      </c>
      <c r="AK7" s="294"/>
      <c r="AL7" s="295"/>
      <c r="AM7" s="295"/>
      <c r="AN7" s="296" t="s">
        <v>239</v>
      </c>
      <c r="AO7" s="297" t="s">
        <v>2</v>
      </c>
      <c r="AP7" s="110"/>
      <c r="AQ7" s="294"/>
      <c r="AR7" s="295"/>
      <c r="AS7" s="295"/>
      <c r="AT7" s="296" t="s">
        <v>239</v>
      </c>
      <c r="AU7" s="297" t="s">
        <v>2</v>
      </c>
      <c r="AV7"/>
      <c r="AW7"/>
      <c r="AX7"/>
      <c r="AY7"/>
      <c r="AZ7"/>
      <c r="BA7"/>
    </row>
    <row r="8" spans="1:53" ht="14.25" customHeight="1" thickBot="1" x14ac:dyDescent="0.3">
      <c r="A8" s="345"/>
      <c r="B8" s="345"/>
      <c r="C8" s="344"/>
      <c r="D8" s="344"/>
      <c r="E8" s="344"/>
      <c r="F8" s="134">
        <v>1</v>
      </c>
      <c r="G8" s="134">
        <v>2</v>
      </c>
      <c r="H8" s="134">
        <v>3</v>
      </c>
      <c r="I8" s="134">
        <v>4</v>
      </c>
      <c r="J8" s="134">
        <v>5</v>
      </c>
      <c r="K8" s="134">
        <v>6</v>
      </c>
      <c r="L8" s="134">
        <v>7</v>
      </c>
      <c r="M8" s="134">
        <v>8</v>
      </c>
      <c r="N8" s="134">
        <v>9</v>
      </c>
      <c r="O8" s="134">
        <v>10</v>
      </c>
      <c r="P8" s="134">
        <v>11</v>
      </c>
      <c r="Q8" s="134">
        <v>12</v>
      </c>
      <c r="R8" s="134">
        <v>13</v>
      </c>
      <c r="S8" s="134">
        <v>14</v>
      </c>
      <c r="T8" s="134">
        <v>15</v>
      </c>
      <c r="U8" s="134">
        <v>16</v>
      </c>
      <c r="V8" s="216"/>
      <c r="W8" s="287"/>
      <c r="X8" s="39"/>
      <c r="Z8" s="278">
        <f>SUM(F11,G11,H11,F14:H14,F17:H17)/SUM(F10:H10,F13:H13,F16:H16)</f>
        <v>98.17628928000002</v>
      </c>
      <c r="AA8" s="278">
        <f>SUM(I11:S11,I14:S14,I17:S17)/SUM(I10:S10,I13:S13,I16:S16)</f>
        <v>98.446455627305312</v>
      </c>
      <c r="AB8" s="278">
        <f>SUM(T11:U11,T14:U14,T17:U17)/SUM(T10:U10,T13:U13,T16:U16)</f>
        <v>97.800307779999997</v>
      </c>
      <c r="AC8" s="274"/>
      <c r="AE8" s="42"/>
      <c r="AF8" s="42"/>
      <c r="AG8" s="42"/>
      <c r="AH8" s="42"/>
      <c r="AI8" s="42"/>
      <c r="AK8" s="42"/>
      <c r="AL8" s="42"/>
      <c r="AM8" s="42"/>
      <c r="AN8" s="42"/>
      <c r="AO8" s="42"/>
      <c r="AP8" s="110"/>
      <c r="AQ8" s="42"/>
      <c r="AR8" s="42"/>
      <c r="AS8" s="42"/>
      <c r="AT8" s="42"/>
      <c r="AU8" s="42"/>
      <c r="AW8" s="316"/>
      <c r="AX8" s="42"/>
      <c r="AY8" s="42"/>
      <c r="AZ8" s="317" t="s">
        <v>248</v>
      </c>
      <c r="BA8" s="318" t="s">
        <v>249</v>
      </c>
    </row>
    <row r="9" spans="1:53" ht="14.4" customHeight="1" x14ac:dyDescent="0.25">
      <c r="A9" s="135" t="s">
        <v>230</v>
      </c>
      <c r="B9" s="138" t="s">
        <v>231</v>
      </c>
      <c r="C9" s="139" t="s">
        <v>232</v>
      </c>
      <c r="D9" s="140">
        <f>AI19</f>
        <v>109.90691208000001</v>
      </c>
      <c r="E9" s="149">
        <f>1679.1/12</f>
        <v>139.92499999999998</v>
      </c>
      <c r="F9" s="116">
        <v>0.5</v>
      </c>
      <c r="G9" s="116">
        <v>0.5</v>
      </c>
      <c r="H9" s="116">
        <v>0.5</v>
      </c>
      <c r="I9" s="116">
        <v>1</v>
      </c>
      <c r="J9" s="116">
        <v>1</v>
      </c>
      <c r="K9" s="116">
        <v>1</v>
      </c>
      <c r="L9" s="116">
        <v>1</v>
      </c>
      <c r="M9" s="116">
        <v>1</v>
      </c>
      <c r="N9" s="116">
        <v>1</v>
      </c>
      <c r="O9" s="116">
        <v>1</v>
      </c>
      <c r="P9" s="116">
        <v>1</v>
      </c>
      <c r="Q9" s="116">
        <v>1</v>
      </c>
      <c r="R9" s="116">
        <v>1</v>
      </c>
      <c r="S9" s="116">
        <v>1</v>
      </c>
      <c r="T9" s="116">
        <v>0.75</v>
      </c>
      <c r="U9" s="116">
        <v>0.75</v>
      </c>
      <c r="V9" s="217"/>
      <c r="W9" s="288"/>
      <c r="X9" s="39" t="s">
        <v>156</v>
      </c>
      <c r="Z9" s="110"/>
      <c r="AA9" s="110"/>
      <c r="AB9" s="110"/>
      <c r="AC9" s="110"/>
      <c r="AD9" s="110"/>
      <c r="AE9" s="43" t="s">
        <v>240</v>
      </c>
      <c r="AF9" s="42"/>
      <c r="AG9" s="42"/>
      <c r="AH9" s="298"/>
      <c r="AI9" s="299">
        <v>58</v>
      </c>
      <c r="AJ9" s="110"/>
      <c r="AK9" s="43" t="s">
        <v>240</v>
      </c>
      <c r="AL9" s="42"/>
      <c r="AM9" s="42"/>
      <c r="AN9" s="298"/>
      <c r="AO9" s="299">
        <v>48</v>
      </c>
      <c r="AP9" s="110"/>
      <c r="AQ9" s="43" t="s">
        <v>240</v>
      </c>
      <c r="AR9" s="42"/>
      <c r="AS9" s="42"/>
      <c r="AT9" s="298"/>
      <c r="AU9" s="299">
        <v>28</v>
      </c>
      <c r="AW9" s="42"/>
      <c r="AX9" s="42"/>
      <c r="AY9" s="42"/>
      <c r="AZ9" s="42"/>
      <c r="BA9" s="42"/>
    </row>
    <row r="10" spans="1:53" x14ac:dyDescent="0.25">
      <c r="A10" s="341" t="s">
        <v>170</v>
      </c>
      <c r="B10" s="342"/>
      <c r="C10" s="342"/>
      <c r="D10" s="342"/>
      <c r="E10" s="343"/>
      <c r="F10" s="178">
        <f>$E$9*F9</f>
        <v>69.962499999999991</v>
      </c>
      <c r="G10" s="178">
        <f>$E$9*G9</f>
        <v>69.962499999999991</v>
      </c>
      <c r="H10" s="178">
        <f t="shared" ref="H10:U10" si="0">$E$9*H9</f>
        <v>69.962499999999991</v>
      </c>
      <c r="I10" s="178">
        <f t="shared" si="0"/>
        <v>139.92499999999998</v>
      </c>
      <c r="J10" s="178">
        <f>$E$9*J9</f>
        <v>139.92499999999998</v>
      </c>
      <c r="K10" s="178">
        <f t="shared" si="0"/>
        <v>139.92499999999998</v>
      </c>
      <c r="L10" s="178">
        <f t="shared" si="0"/>
        <v>139.92499999999998</v>
      </c>
      <c r="M10" s="178">
        <f t="shared" si="0"/>
        <v>139.92499999999998</v>
      </c>
      <c r="N10" s="178">
        <f>$E$9*N9</f>
        <v>139.92499999999998</v>
      </c>
      <c r="O10" s="178">
        <f t="shared" si="0"/>
        <v>139.92499999999998</v>
      </c>
      <c r="P10" s="178">
        <f t="shared" si="0"/>
        <v>139.92499999999998</v>
      </c>
      <c r="Q10" s="178">
        <f t="shared" si="0"/>
        <v>139.92499999999998</v>
      </c>
      <c r="R10" s="178">
        <f t="shared" si="0"/>
        <v>139.92499999999998</v>
      </c>
      <c r="S10" s="178">
        <f t="shared" si="0"/>
        <v>139.92499999999998</v>
      </c>
      <c r="T10" s="178">
        <f>$E$9*T9</f>
        <v>104.94374999999999</v>
      </c>
      <c r="U10" s="178">
        <f t="shared" si="0"/>
        <v>104.94374999999999</v>
      </c>
      <c r="V10" s="218"/>
      <c r="W10" s="288"/>
      <c r="X10" s="118" t="s">
        <v>156</v>
      </c>
      <c r="Z10" s="110"/>
      <c r="AA10" s="110"/>
      <c r="AB10" s="110"/>
      <c r="AC10" s="110"/>
      <c r="AD10" s="110"/>
      <c r="AE10" s="300" t="s">
        <v>241</v>
      </c>
      <c r="AF10" s="301"/>
      <c r="AG10" s="42"/>
      <c r="AH10" s="302">
        <v>0.33</v>
      </c>
      <c r="AI10" s="303">
        <f>AI9*AH10</f>
        <v>19.14</v>
      </c>
      <c r="AJ10" s="110"/>
      <c r="AK10" s="300" t="s">
        <v>241</v>
      </c>
      <c r="AL10" s="301"/>
      <c r="AM10" s="42"/>
      <c r="AN10" s="302">
        <v>0.33</v>
      </c>
      <c r="AO10" s="303">
        <f>AO9*AN10</f>
        <v>15.84</v>
      </c>
      <c r="AP10" s="110"/>
      <c r="AQ10" s="300" t="s">
        <v>241</v>
      </c>
      <c r="AR10" s="301"/>
      <c r="AS10" s="42"/>
      <c r="AT10" s="302">
        <v>0.33</v>
      </c>
      <c r="AU10" s="303">
        <f>AU9*AT10</f>
        <v>9.24</v>
      </c>
      <c r="AW10" s="319" t="s">
        <v>236</v>
      </c>
      <c r="AX10" s="42"/>
      <c r="AY10" s="42"/>
      <c r="AZ10" s="320">
        <v>0.03</v>
      </c>
      <c r="BA10" s="321">
        <f>AU19</f>
        <v>53.058509279999996</v>
      </c>
    </row>
    <row r="11" spans="1:53" x14ac:dyDescent="0.25">
      <c r="A11" s="341" t="s">
        <v>161</v>
      </c>
      <c r="B11" s="342"/>
      <c r="C11" s="342"/>
      <c r="D11" s="342"/>
      <c r="E11" s="343"/>
      <c r="F11" s="132">
        <f>$D$9*F10</f>
        <v>7689.362336397</v>
      </c>
      <c r="G11" s="132">
        <f>$D$9*G10</f>
        <v>7689.362336397</v>
      </c>
      <c r="H11" s="132">
        <f t="shared" ref="H11:U11" si="1">$D$9*H10</f>
        <v>7689.362336397</v>
      </c>
      <c r="I11" s="132">
        <f t="shared" si="1"/>
        <v>15378.724672794</v>
      </c>
      <c r="J11" s="132">
        <f>$D$9*J10</f>
        <v>15378.724672794</v>
      </c>
      <c r="K11" s="132">
        <f t="shared" si="1"/>
        <v>15378.724672794</v>
      </c>
      <c r="L11" s="132">
        <f t="shared" si="1"/>
        <v>15378.724672794</v>
      </c>
      <c r="M11" s="132">
        <f t="shared" si="1"/>
        <v>15378.724672794</v>
      </c>
      <c r="N11" s="132">
        <f>$D$9*N10</f>
        <v>15378.724672794</v>
      </c>
      <c r="O11" s="132">
        <f t="shared" si="1"/>
        <v>15378.724672794</v>
      </c>
      <c r="P11" s="132">
        <f t="shared" si="1"/>
        <v>15378.724672794</v>
      </c>
      <c r="Q11" s="132">
        <f t="shared" si="1"/>
        <v>15378.724672794</v>
      </c>
      <c r="R11" s="132">
        <f t="shared" si="1"/>
        <v>15378.724672794</v>
      </c>
      <c r="S11" s="132">
        <f t="shared" si="1"/>
        <v>15378.724672794</v>
      </c>
      <c r="T11" s="132">
        <f>$D$9*T10</f>
        <v>11534.0435045955</v>
      </c>
      <c r="U11" s="132">
        <f t="shared" si="1"/>
        <v>11534.0435045955</v>
      </c>
      <c r="V11" s="218"/>
      <c r="W11" s="288"/>
      <c r="X11" s="118"/>
      <c r="Y11" s="119"/>
      <c r="Z11" s="110"/>
      <c r="AA11" s="110"/>
      <c r="AB11" s="110"/>
      <c r="AC11" s="110"/>
      <c r="AD11" s="110"/>
      <c r="AE11" s="42" t="s">
        <v>242</v>
      </c>
      <c r="AF11" s="42"/>
      <c r="AG11" s="42"/>
      <c r="AH11" s="304"/>
      <c r="AI11" s="305">
        <f>SUM(AI9:AI10)</f>
        <v>77.14</v>
      </c>
      <c r="AJ11" s="110"/>
      <c r="AK11" s="42" t="s">
        <v>242</v>
      </c>
      <c r="AL11" s="42"/>
      <c r="AM11" s="42"/>
      <c r="AN11" s="304"/>
      <c r="AO11" s="305">
        <f>SUM(AO9:AO10)</f>
        <v>63.84</v>
      </c>
      <c r="AP11" s="110"/>
      <c r="AQ11" s="42" t="s">
        <v>242</v>
      </c>
      <c r="AR11" s="42"/>
      <c r="AS11" s="42"/>
      <c r="AT11" s="304"/>
      <c r="AU11" s="305">
        <f>SUM(AU9:AU10)</f>
        <v>37.24</v>
      </c>
      <c r="AW11" s="319" t="s">
        <v>233</v>
      </c>
      <c r="AX11" s="42"/>
      <c r="AY11" s="42"/>
      <c r="AZ11" s="320">
        <v>0.45</v>
      </c>
      <c r="BA11" s="321">
        <f>AO19</f>
        <v>90.957444480000007</v>
      </c>
    </row>
    <row r="12" spans="1:53" ht="14.25" customHeight="1" x14ac:dyDescent="0.25">
      <c r="A12" s="136" t="s">
        <v>233</v>
      </c>
      <c r="B12" s="141" t="s">
        <v>234</v>
      </c>
      <c r="C12" s="142" t="s">
        <v>235</v>
      </c>
      <c r="D12" s="143">
        <f>AO19</f>
        <v>90.957444480000007</v>
      </c>
      <c r="E12" s="150">
        <f>1679.1/12</f>
        <v>139.92499999999998</v>
      </c>
      <c r="F12" s="117">
        <v>0.5</v>
      </c>
      <c r="G12" s="117">
        <v>0.5</v>
      </c>
      <c r="H12" s="117">
        <v>0.5</v>
      </c>
      <c r="I12" s="117">
        <v>1</v>
      </c>
      <c r="J12" s="117">
        <v>1</v>
      </c>
      <c r="K12" s="117">
        <v>1</v>
      </c>
      <c r="L12" s="117">
        <v>1</v>
      </c>
      <c r="M12" s="117">
        <v>1</v>
      </c>
      <c r="N12" s="117">
        <v>1</v>
      </c>
      <c r="O12" s="117">
        <v>1.5</v>
      </c>
      <c r="P12" s="117">
        <v>1.5</v>
      </c>
      <c r="Q12" s="117">
        <v>1.5</v>
      </c>
      <c r="R12" s="117">
        <v>1.5</v>
      </c>
      <c r="S12" s="117">
        <v>1.5</v>
      </c>
      <c r="T12" s="117">
        <v>1</v>
      </c>
      <c r="U12" s="117">
        <v>1</v>
      </c>
      <c r="V12" s="218"/>
      <c r="W12" s="288"/>
      <c r="X12" s="39"/>
      <c r="Z12" s="110"/>
      <c r="AA12" s="110"/>
      <c r="AB12" s="110"/>
      <c r="AC12" s="110"/>
      <c r="AD12" s="110"/>
      <c r="AE12" s="42"/>
      <c r="AF12" s="42"/>
      <c r="AG12" s="42"/>
      <c r="AH12" s="304"/>
      <c r="AI12" s="306"/>
      <c r="AJ12" s="110"/>
      <c r="AK12" s="42"/>
      <c r="AL12" s="42"/>
      <c r="AM12" s="42"/>
      <c r="AN12" s="304"/>
      <c r="AO12" s="306"/>
      <c r="AP12" s="110"/>
      <c r="AQ12" s="42"/>
      <c r="AR12" s="42"/>
      <c r="AS12" s="42"/>
      <c r="AT12" s="304"/>
      <c r="AU12" s="306"/>
      <c r="AW12" s="319" t="s">
        <v>250</v>
      </c>
      <c r="AX12" s="42"/>
      <c r="AY12" s="42"/>
      <c r="AZ12" s="320">
        <v>0.52</v>
      </c>
      <c r="BA12" s="321">
        <f>AI19</f>
        <v>109.90691208000001</v>
      </c>
    </row>
    <row r="13" spans="1:53" x14ac:dyDescent="0.25">
      <c r="A13" s="341" t="s">
        <v>170</v>
      </c>
      <c r="B13" s="342"/>
      <c r="C13" s="342"/>
      <c r="D13" s="342"/>
      <c r="E13" s="343"/>
      <c r="F13" s="179">
        <f>$E$12*F12</f>
        <v>69.962499999999991</v>
      </c>
      <c r="G13" s="179">
        <f>$E$12*G12</f>
        <v>69.962499999999991</v>
      </c>
      <c r="H13" s="179">
        <f t="shared" ref="H13:U13" si="2">$E$12*H12</f>
        <v>69.962499999999991</v>
      </c>
      <c r="I13" s="179">
        <f t="shared" si="2"/>
        <v>139.92499999999998</v>
      </c>
      <c r="J13" s="179">
        <f>$E$12*J12</f>
        <v>139.92499999999998</v>
      </c>
      <c r="K13" s="179">
        <f t="shared" si="2"/>
        <v>139.92499999999998</v>
      </c>
      <c r="L13" s="179">
        <f t="shared" si="2"/>
        <v>139.92499999999998</v>
      </c>
      <c r="M13" s="179">
        <f t="shared" si="2"/>
        <v>139.92499999999998</v>
      </c>
      <c r="N13" s="179">
        <f>$E$12*N12</f>
        <v>139.92499999999998</v>
      </c>
      <c r="O13" s="179">
        <f t="shared" si="2"/>
        <v>209.88749999999999</v>
      </c>
      <c r="P13" s="179">
        <f t="shared" si="2"/>
        <v>209.88749999999999</v>
      </c>
      <c r="Q13" s="179">
        <f t="shared" si="2"/>
        <v>209.88749999999999</v>
      </c>
      <c r="R13" s="179">
        <f t="shared" si="2"/>
        <v>209.88749999999999</v>
      </c>
      <c r="S13" s="179">
        <f t="shared" si="2"/>
        <v>209.88749999999999</v>
      </c>
      <c r="T13" s="179">
        <f>$E$12*T12</f>
        <v>139.92499999999998</v>
      </c>
      <c r="U13" s="179">
        <f t="shared" si="2"/>
        <v>139.92499999999998</v>
      </c>
      <c r="V13" s="218"/>
      <c r="W13" s="288"/>
      <c r="X13" s="118"/>
      <c r="Z13" s="110"/>
      <c r="AA13" s="110"/>
      <c r="AB13" s="110"/>
      <c r="AC13" s="110"/>
      <c r="AD13" s="110"/>
      <c r="AE13" s="300" t="s">
        <v>243</v>
      </c>
      <c r="AF13" s="301"/>
      <c r="AG13" s="42"/>
      <c r="AH13" s="302">
        <v>0.24979999999999999</v>
      </c>
      <c r="AI13" s="303">
        <f>AI11*AH13</f>
        <v>19.269572</v>
      </c>
      <c r="AJ13" s="110"/>
      <c r="AK13" s="300" t="s">
        <v>243</v>
      </c>
      <c r="AL13" s="301"/>
      <c r="AM13" s="42"/>
      <c r="AN13" s="302">
        <v>0.24979999999999999</v>
      </c>
      <c r="AO13" s="303">
        <f>AO11*AN13</f>
        <v>15.947232</v>
      </c>
      <c r="AP13" s="110"/>
      <c r="AQ13" s="300" t="s">
        <v>243</v>
      </c>
      <c r="AR13" s="301"/>
      <c r="AS13" s="42"/>
      <c r="AT13" s="302">
        <v>0.24979999999999999</v>
      </c>
      <c r="AU13" s="303">
        <f>AU11*AT13</f>
        <v>9.3025520000000004</v>
      </c>
      <c r="AW13" s="322"/>
      <c r="AX13" s="301"/>
      <c r="AY13" s="42"/>
      <c r="AZ13" s="320"/>
      <c r="BA13" s="321"/>
    </row>
    <row r="14" spans="1:53" x14ac:dyDescent="0.25">
      <c r="A14" s="341" t="s">
        <v>161</v>
      </c>
      <c r="B14" s="342"/>
      <c r="C14" s="342"/>
      <c r="D14" s="342"/>
      <c r="E14" s="343"/>
      <c r="F14" s="133">
        <f>$D$12*F13</f>
        <v>6363.6102094319995</v>
      </c>
      <c r="G14" s="133">
        <f>$D$12*G13</f>
        <v>6363.6102094319995</v>
      </c>
      <c r="H14" s="133">
        <f t="shared" ref="H14:U14" si="3">$D$12*H13</f>
        <v>6363.6102094319995</v>
      </c>
      <c r="I14" s="133">
        <f t="shared" si="3"/>
        <v>12727.220418863999</v>
      </c>
      <c r="J14" s="133">
        <f>$D$12*J13</f>
        <v>12727.220418863999</v>
      </c>
      <c r="K14" s="133">
        <f t="shared" si="3"/>
        <v>12727.220418863999</v>
      </c>
      <c r="L14" s="133">
        <f t="shared" si="3"/>
        <v>12727.220418863999</v>
      </c>
      <c r="M14" s="133">
        <f t="shared" si="3"/>
        <v>12727.220418863999</v>
      </c>
      <c r="N14" s="133">
        <f>$D$12*N13</f>
        <v>12727.220418863999</v>
      </c>
      <c r="O14" s="133">
        <f t="shared" si="3"/>
        <v>19090.830628296</v>
      </c>
      <c r="P14" s="133">
        <f t="shared" si="3"/>
        <v>19090.830628296</v>
      </c>
      <c r="Q14" s="133">
        <f t="shared" si="3"/>
        <v>19090.830628296</v>
      </c>
      <c r="R14" s="133">
        <f t="shared" si="3"/>
        <v>19090.830628296</v>
      </c>
      <c r="S14" s="133">
        <f t="shared" si="3"/>
        <v>19090.830628296</v>
      </c>
      <c r="T14" s="133">
        <f>$D$12*T13</f>
        <v>12727.220418863999</v>
      </c>
      <c r="U14" s="133">
        <f t="shared" si="3"/>
        <v>12727.220418863999</v>
      </c>
      <c r="V14" s="218"/>
      <c r="W14" s="288"/>
      <c r="X14" s="118"/>
      <c r="Y14" s="119"/>
      <c r="Z14" s="110"/>
      <c r="AA14" s="110"/>
      <c r="AB14" s="110"/>
      <c r="AC14" s="110"/>
      <c r="AD14" s="110"/>
      <c r="AE14" s="42" t="s">
        <v>244</v>
      </c>
      <c r="AF14" s="42"/>
      <c r="AG14" s="42"/>
      <c r="AH14" s="304"/>
      <c r="AI14" s="305">
        <f>SUM(AI11:AI13)</f>
        <v>96.409571999999997</v>
      </c>
      <c r="AJ14" s="110"/>
      <c r="AK14" s="42" t="s">
        <v>244</v>
      </c>
      <c r="AL14" s="42"/>
      <c r="AM14" s="42"/>
      <c r="AN14" s="304"/>
      <c r="AO14" s="305">
        <f>SUM(AO11:AO13)</f>
        <v>79.787232000000003</v>
      </c>
      <c r="AP14" s="110"/>
      <c r="AQ14" s="42" t="s">
        <v>244</v>
      </c>
      <c r="AR14" s="42"/>
      <c r="AS14" s="42"/>
      <c r="AT14" s="304"/>
      <c r="AU14" s="305">
        <f>SUM(AU11:AU13)</f>
        <v>46.542552000000001</v>
      </c>
      <c r="AW14" s="43" t="s">
        <v>240</v>
      </c>
      <c r="AX14" s="42"/>
      <c r="AY14" s="42"/>
      <c r="AZ14" s="323">
        <f>SUM(AZ10:AZ13)</f>
        <v>1</v>
      </c>
      <c r="BA14" s="324">
        <f>AZ10*BA10+AZ11*BA11+AZ12*BA12</f>
        <v>99.674199576000007</v>
      </c>
    </row>
    <row r="15" spans="1:53" ht="14.4" customHeight="1" x14ac:dyDescent="0.25">
      <c r="A15" s="135" t="s">
        <v>236</v>
      </c>
      <c r="B15" s="138" t="s">
        <v>237</v>
      </c>
      <c r="C15" s="139" t="s">
        <v>238</v>
      </c>
      <c r="D15" s="140">
        <f>AU19</f>
        <v>53.058509279999996</v>
      </c>
      <c r="E15" s="149">
        <f>1679.1/12</f>
        <v>139.92499999999998</v>
      </c>
      <c r="F15" s="116">
        <v>0.05</v>
      </c>
      <c r="G15" s="116">
        <v>0.05</v>
      </c>
      <c r="H15" s="116">
        <v>0.05</v>
      </c>
      <c r="I15" s="116">
        <v>0.05</v>
      </c>
      <c r="J15" s="116">
        <v>0.05</v>
      </c>
      <c r="K15" s="116">
        <v>0.05</v>
      </c>
      <c r="L15" s="116">
        <v>0.05</v>
      </c>
      <c r="M15" s="116">
        <v>0.05</v>
      </c>
      <c r="N15" s="116">
        <v>0.05</v>
      </c>
      <c r="O15" s="116">
        <v>0.05</v>
      </c>
      <c r="P15" s="116">
        <v>0.05</v>
      </c>
      <c r="Q15" s="116">
        <v>0.05</v>
      </c>
      <c r="R15" s="116">
        <v>0.05</v>
      </c>
      <c r="S15" s="116">
        <v>0.05</v>
      </c>
      <c r="T15" s="116">
        <v>0.05</v>
      </c>
      <c r="U15" s="116">
        <v>0.05</v>
      </c>
      <c r="V15" s="218"/>
      <c r="W15" s="288"/>
      <c r="X15" s="39"/>
      <c r="Z15" s="110"/>
      <c r="AA15" s="110"/>
      <c r="AB15" s="110"/>
      <c r="AC15" s="110"/>
      <c r="AD15" s="110"/>
      <c r="AE15" s="42"/>
      <c r="AF15" s="42"/>
      <c r="AG15" s="42"/>
      <c r="AH15" s="304"/>
      <c r="AI15" s="306"/>
      <c r="AJ15" s="110"/>
      <c r="AK15" s="42"/>
      <c r="AL15" s="42"/>
      <c r="AM15" s="42"/>
      <c r="AN15" s="304"/>
      <c r="AO15" s="306"/>
      <c r="AQ15" s="42"/>
      <c r="AR15" s="42"/>
      <c r="AS15" s="42"/>
      <c r="AT15" s="304"/>
      <c r="AU15" s="306"/>
    </row>
    <row r="16" spans="1:53" x14ac:dyDescent="0.25">
      <c r="A16" s="341" t="s">
        <v>170</v>
      </c>
      <c r="B16" s="342"/>
      <c r="C16" s="342"/>
      <c r="D16" s="342"/>
      <c r="E16" s="343"/>
      <c r="F16" s="178">
        <f>$E$15*F15</f>
        <v>6.9962499999999999</v>
      </c>
      <c r="G16" s="178">
        <f>$E$15*G15</f>
        <v>6.9962499999999999</v>
      </c>
      <c r="H16" s="178">
        <f t="shared" ref="H16:U16" si="4">$E$15*H15</f>
        <v>6.9962499999999999</v>
      </c>
      <c r="I16" s="178">
        <f t="shared" si="4"/>
        <v>6.9962499999999999</v>
      </c>
      <c r="J16" s="178">
        <f>$E$15*J15</f>
        <v>6.9962499999999999</v>
      </c>
      <c r="K16" s="178">
        <f t="shared" si="4"/>
        <v>6.9962499999999999</v>
      </c>
      <c r="L16" s="178">
        <f t="shared" si="4"/>
        <v>6.9962499999999999</v>
      </c>
      <c r="M16" s="178">
        <f t="shared" si="4"/>
        <v>6.9962499999999999</v>
      </c>
      <c r="N16" s="178">
        <f>$E$15*N15</f>
        <v>6.9962499999999999</v>
      </c>
      <c r="O16" s="178">
        <f t="shared" si="4"/>
        <v>6.9962499999999999</v>
      </c>
      <c r="P16" s="178">
        <f t="shared" si="4"/>
        <v>6.9962499999999999</v>
      </c>
      <c r="Q16" s="178">
        <f t="shared" si="4"/>
        <v>6.9962499999999999</v>
      </c>
      <c r="R16" s="178">
        <f t="shared" si="4"/>
        <v>6.9962499999999999</v>
      </c>
      <c r="S16" s="178">
        <f t="shared" si="4"/>
        <v>6.9962499999999999</v>
      </c>
      <c r="T16" s="178">
        <f>$E$15*T15</f>
        <v>6.9962499999999999</v>
      </c>
      <c r="U16" s="178">
        <f t="shared" si="4"/>
        <v>6.9962499999999999</v>
      </c>
      <c r="V16" s="218"/>
      <c r="W16" s="288"/>
      <c r="X16" s="118"/>
      <c r="Z16" s="110"/>
      <c r="AA16" s="110"/>
      <c r="AB16" s="110"/>
      <c r="AC16" s="110"/>
      <c r="AD16" s="110"/>
      <c r="AE16" s="307" t="s">
        <v>245</v>
      </c>
      <c r="AF16" s="42"/>
      <c r="AG16" s="42"/>
      <c r="AH16" s="308">
        <v>7.0000000000000007E-2</v>
      </c>
      <c r="AI16" s="309">
        <f>AI14*AH16</f>
        <v>6.7486700400000004</v>
      </c>
      <c r="AJ16" s="110"/>
      <c r="AK16" s="307" t="s">
        <v>245</v>
      </c>
      <c r="AL16" s="42"/>
      <c r="AM16" s="42"/>
      <c r="AN16" s="308">
        <v>7.0000000000000007E-2</v>
      </c>
      <c r="AO16" s="309">
        <f>AO14*AN16</f>
        <v>5.5851062400000009</v>
      </c>
      <c r="AQ16" s="307" t="s">
        <v>245</v>
      </c>
      <c r="AR16" s="42"/>
      <c r="AS16" s="42"/>
      <c r="AT16" s="308">
        <v>7.0000000000000007E-2</v>
      </c>
      <c r="AU16" s="309">
        <f>AU14*AT16</f>
        <v>3.2579786400000001</v>
      </c>
    </row>
    <row r="17" spans="1:117" ht="15.6" x14ac:dyDescent="0.3">
      <c r="A17" s="341" t="s">
        <v>161</v>
      </c>
      <c r="B17" s="342"/>
      <c r="C17" s="342"/>
      <c r="D17" s="342"/>
      <c r="E17" s="343"/>
      <c r="F17" s="132">
        <f>$D$15*F16</f>
        <v>371.21059555019997</v>
      </c>
      <c r="G17" s="132">
        <f>$D$15*G16</f>
        <v>371.21059555019997</v>
      </c>
      <c r="H17" s="132">
        <f t="shared" ref="H17:U17" si="5">$D$15*H16</f>
        <v>371.21059555019997</v>
      </c>
      <c r="I17" s="132">
        <f t="shared" si="5"/>
        <v>371.21059555019997</v>
      </c>
      <c r="J17" s="132">
        <f>$D$15*J16</f>
        <v>371.21059555019997</v>
      </c>
      <c r="K17" s="132">
        <f t="shared" si="5"/>
        <v>371.21059555019997</v>
      </c>
      <c r="L17" s="132">
        <f t="shared" si="5"/>
        <v>371.21059555019997</v>
      </c>
      <c r="M17" s="132">
        <f t="shared" si="5"/>
        <v>371.21059555019997</v>
      </c>
      <c r="N17" s="132">
        <f>$D$15*N16</f>
        <v>371.21059555019997</v>
      </c>
      <c r="O17" s="132">
        <f t="shared" si="5"/>
        <v>371.21059555019997</v>
      </c>
      <c r="P17" s="132">
        <f t="shared" si="5"/>
        <v>371.21059555019997</v>
      </c>
      <c r="Q17" s="132">
        <f t="shared" si="5"/>
        <v>371.21059555019997</v>
      </c>
      <c r="R17" s="132">
        <f t="shared" si="5"/>
        <v>371.21059555019997</v>
      </c>
      <c r="S17" s="132">
        <f t="shared" si="5"/>
        <v>371.21059555019997</v>
      </c>
      <c r="T17" s="132">
        <f>$D$15*T16</f>
        <v>371.21059555019997</v>
      </c>
      <c r="U17" s="132">
        <f t="shared" si="5"/>
        <v>371.21059555019997</v>
      </c>
      <c r="V17" s="218"/>
      <c r="W17" s="288"/>
      <c r="X17" s="118"/>
      <c r="Y17" s="119"/>
      <c r="Z17" s="110"/>
      <c r="AA17" s="110"/>
      <c r="AB17" s="110"/>
      <c r="AC17" s="110"/>
      <c r="AD17" s="110"/>
      <c r="AE17" s="300" t="s">
        <v>246</v>
      </c>
      <c r="AF17" s="301"/>
      <c r="AG17" s="42"/>
      <c r="AH17" s="302">
        <v>7.0000000000000007E-2</v>
      </c>
      <c r="AI17" s="303">
        <f>AI14*AH17</f>
        <v>6.7486700400000004</v>
      </c>
      <c r="AJ17" s="110"/>
      <c r="AK17" s="300" t="s">
        <v>246</v>
      </c>
      <c r="AL17" s="301"/>
      <c r="AM17" s="42"/>
      <c r="AN17" s="302">
        <v>7.0000000000000007E-2</v>
      </c>
      <c r="AO17" s="303">
        <f>AO14*AN17</f>
        <v>5.5851062400000009</v>
      </c>
      <c r="AQ17" s="300" t="s">
        <v>246</v>
      </c>
      <c r="AR17" s="301"/>
      <c r="AS17" s="42"/>
      <c r="AT17" s="302">
        <v>7.0000000000000007E-2</v>
      </c>
      <c r="AU17" s="303">
        <f>AU14*AT17</f>
        <v>3.2579786400000001</v>
      </c>
      <c r="AW17" s="33"/>
      <c r="AX17" s="33"/>
      <c r="AY17" s="33"/>
      <c r="AZ17" s="33"/>
      <c r="BA17" s="33"/>
    </row>
    <row r="18" spans="1:117" s="1" customFormat="1" ht="15" customHeight="1" thickBot="1" x14ac:dyDescent="0.35">
      <c r="A18" s="184"/>
      <c r="B18" s="112"/>
      <c r="C18" s="112"/>
      <c r="D18" s="112"/>
      <c r="E18" s="112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218"/>
      <c r="W18" s="186"/>
      <c r="X18" s="39"/>
      <c r="AE18" s="42"/>
      <c r="AF18" s="42"/>
      <c r="AG18" s="42"/>
      <c r="AH18" s="310"/>
      <c r="AI18" s="311"/>
      <c r="AK18" s="42"/>
      <c r="AL18" s="42"/>
      <c r="AM18" s="42"/>
      <c r="AN18" s="310"/>
      <c r="AO18" s="311"/>
      <c r="AQ18" s="42"/>
      <c r="AR18" s="42"/>
      <c r="AS18" s="42"/>
      <c r="AT18" s="310"/>
      <c r="AU18" s="311"/>
      <c r="AW18" s="33"/>
      <c r="AX18" s="33"/>
      <c r="AY18" s="33"/>
      <c r="AZ18" s="33"/>
      <c r="BA18" s="33"/>
    </row>
    <row r="19" spans="1:117" s="1" customFormat="1" ht="15" customHeight="1" thickBot="1" x14ac:dyDescent="0.35">
      <c r="A19" s="184"/>
      <c r="B19" s="112"/>
      <c r="C19" s="112"/>
      <c r="D19" s="112"/>
      <c r="E19" s="112"/>
      <c r="F19" s="334" t="s">
        <v>162</v>
      </c>
      <c r="G19" s="335"/>
      <c r="H19" s="336"/>
      <c r="I19" s="337" t="s">
        <v>130</v>
      </c>
      <c r="J19" s="338"/>
      <c r="K19" s="338"/>
      <c r="L19" s="338"/>
      <c r="M19" s="338"/>
      <c r="N19" s="338"/>
      <c r="O19" s="338"/>
      <c r="P19" s="338"/>
      <c r="Q19" s="338"/>
      <c r="R19" s="338"/>
      <c r="S19" s="339"/>
      <c r="T19" s="334" t="s">
        <v>163</v>
      </c>
      <c r="U19" s="336"/>
      <c r="V19" s="218"/>
      <c r="W19" s="186"/>
      <c r="X19" s="39"/>
      <c r="AE19" s="312" t="s">
        <v>247</v>
      </c>
      <c r="AF19" s="42"/>
      <c r="AG19" s="42"/>
      <c r="AH19" s="313"/>
      <c r="AI19" s="314">
        <f>SUM(AI14:AI18)</f>
        <v>109.90691208000001</v>
      </c>
      <c r="AK19" s="312" t="s">
        <v>247</v>
      </c>
      <c r="AL19" s="42"/>
      <c r="AM19" s="42"/>
      <c r="AN19" s="313"/>
      <c r="AO19" s="314">
        <f>SUM(AO14:AO18)</f>
        <v>90.957444480000007</v>
      </c>
      <c r="AP19"/>
      <c r="AQ19" s="312" t="s">
        <v>247</v>
      </c>
      <c r="AR19" s="42"/>
      <c r="AS19" s="42"/>
      <c r="AT19" s="313"/>
      <c r="AU19" s="314">
        <f>SUM(AU14:AU18)</f>
        <v>53.058509279999996</v>
      </c>
      <c r="AV19"/>
      <c r="AW19" s="33"/>
      <c r="AX19" s="33"/>
      <c r="AY19" s="33"/>
      <c r="AZ19" s="33"/>
      <c r="BA19" s="33"/>
    </row>
    <row r="20" spans="1:117" s="1" customFormat="1" ht="15" customHeight="1" x14ac:dyDescent="0.3">
      <c r="A20" s="137" t="s">
        <v>188</v>
      </c>
      <c r="B20" s="113"/>
      <c r="C20" s="113"/>
      <c r="D20" s="113"/>
      <c r="E20" s="191"/>
      <c r="F20" s="188"/>
      <c r="G20" s="189">
        <f>SUM(F11:H11,F14:H14,F17:H17)/SUM(F10:H10,F13:H13,F16:H16)</f>
        <v>98.17628928000002</v>
      </c>
      <c r="H20" s="190" t="s">
        <v>184</v>
      </c>
      <c r="I20" s="188"/>
      <c r="J20" s="145"/>
      <c r="K20" s="145"/>
      <c r="L20" s="145"/>
      <c r="M20" s="145"/>
      <c r="N20" s="189">
        <f>SUM(I11:S11,I14:S14,I17:S17)/SUM(I10:S10,I13:S13,I16:S16)</f>
        <v>98.446455627305312</v>
      </c>
      <c r="O20" s="145" t="s">
        <v>184</v>
      </c>
      <c r="P20" s="145"/>
      <c r="Q20" s="145"/>
      <c r="R20" s="189"/>
      <c r="S20" s="190"/>
      <c r="T20" s="189">
        <f>SUM(T11:U11,T14:U14,T17:U17)/SUM(T10:U10,T13:U13,T16:U16)</f>
        <v>97.800307779999997</v>
      </c>
      <c r="U20" s="190" t="s">
        <v>184</v>
      </c>
      <c r="V20" s="218"/>
      <c r="W20" s="186"/>
      <c r="X20" s="39"/>
      <c r="AW20" s="33"/>
      <c r="AX20" s="33"/>
      <c r="AY20" s="33"/>
      <c r="AZ20" s="33"/>
      <c r="BA20" s="33"/>
    </row>
    <row r="21" spans="1:117" s="1" customFormat="1" ht="15" customHeight="1" x14ac:dyDescent="0.3">
      <c r="A21" s="137" t="s">
        <v>189</v>
      </c>
      <c r="B21" s="113"/>
      <c r="C21" s="113"/>
      <c r="D21" s="113"/>
      <c r="E21" s="191"/>
      <c r="F21" s="188"/>
      <c r="G21" s="189">
        <f>SUM(F10:H10,F13:H13,F16:H16)/Plausibilitätsprüfung!F18</f>
        <v>146.92124999999996</v>
      </c>
      <c r="H21" s="190" t="s">
        <v>128</v>
      </c>
      <c r="I21" s="188"/>
      <c r="J21" s="145"/>
      <c r="K21" s="145"/>
      <c r="L21" s="145"/>
      <c r="M21" s="145"/>
      <c r="N21" s="189">
        <f>SUM(I10:S10,I13:S13,I16:S16)/Plausibilitätsprüfung!F33</f>
        <v>318.64738636363643</v>
      </c>
      <c r="O21" s="145" t="s">
        <v>128</v>
      </c>
      <c r="P21" s="145"/>
      <c r="Q21" s="145"/>
      <c r="R21" s="189"/>
      <c r="S21" s="190"/>
      <c r="T21" s="189">
        <f>SUM(T10:U10,T13:U13,T16:U16)/Plausibilitätsprüfung!F48</f>
        <v>251.86499999999995</v>
      </c>
      <c r="U21" s="190" t="s">
        <v>128</v>
      </c>
      <c r="V21" s="218"/>
      <c r="W21" s="186"/>
      <c r="X21" s="39"/>
      <c r="AW21" s="33"/>
      <c r="AX21" s="33"/>
      <c r="AY21" s="33"/>
      <c r="AZ21" s="33"/>
      <c r="BA21" s="33"/>
    </row>
    <row r="22" spans="1:117" s="1" customFormat="1" ht="15" customHeight="1" x14ac:dyDescent="0.3">
      <c r="A22" s="184"/>
      <c r="B22" s="112"/>
      <c r="C22" s="112"/>
      <c r="D22" s="112"/>
      <c r="E22" s="112"/>
      <c r="F22" s="185"/>
      <c r="G22" s="187"/>
      <c r="H22" s="185"/>
      <c r="I22" s="185"/>
      <c r="J22" s="185"/>
      <c r="K22" s="185"/>
      <c r="L22" s="185"/>
      <c r="M22" s="185"/>
      <c r="N22" s="180"/>
      <c r="O22" s="180"/>
      <c r="P22" s="185"/>
      <c r="Q22" s="185"/>
      <c r="R22" s="187"/>
      <c r="S22" s="185"/>
      <c r="T22" s="187"/>
      <c r="U22" s="185"/>
      <c r="V22" s="215"/>
      <c r="W22" s="186"/>
      <c r="X22" s="39"/>
      <c r="AW22" s="33"/>
      <c r="AX22" s="33"/>
      <c r="AY22" s="33"/>
      <c r="AZ22" s="33"/>
      <c r="BA22" s="33"/>
    </row>
    <row r="23" spans="1:117" s="1" customFormat="1" ht="15" customHeight="1" x14ac:dyDescent="0.3">
      <c r="A23" s="184"/>
      <c r="B23" s="112"/>
      <c r="C23" s="112"/>
      <c r="D23" s="112"/>
      <c r="E23" s="112"/>
      <c r="F23" s="185"/>
      <c r="G23" s="187"/>
      <c r="H23" s="185"/>
      <c r="I23" s="185"/>
      <c r="J23" s="185"/>
      <c r="K23" s="185"/>
      <c r="L23" s="185"/>
      <c r="M23" s="185"/>
      <c r="N23" s="180"/>
      <c r="O23" s="180"/>
      <c r="P23" s="185"/>
      <c r="Q23" s="185"/>
      <c r="R23" s="187"/>
      <c r="S23" s="185"/>
      <c r="T23" s="187"/>
      <c r="U23" s="185"/>
      <c r="V23" s="215"/>
      <c r="W23" s="186"/>
      <c r="X23" s="39"/>
      <c r="AW23" s="33"/>
      <c r="AX23" s="33"/>
      <c r="AY23" s="33"/>
      <c r="AZ23" s="33"/>
      <c r="BA23" s="33"/>
    </row>
    <row r="25" spans="1:117" x14ac:dyDescent="0.25">
      <c r="Z25" s="273" t="s">
        <v>203</v>
      </c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</row>
    <row r="26" spans="1:117" x14ac:dyDescent="0.25"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</row>
    <row r="27" spans="1:117" x14ac:dyDescent="0.25">
      <c r="Z27" s="274" t="s">
        <v>160</v>
      </c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</row>
    <row r="28" spans="1:117" x14ac:dyDescent="0.25">
      <c r="Z28" s="275">
        <v>0</v>
      </c>
      <c r="AA28" s="275">
        <v>1</v>
      </c>
      <c r="AB28" s="275">
        <v>1</v>
      </c>
      <c r="AC28" s="275">
        <v>2</v>
      </c>
      <c r="AD28" s="275">
        <v>2</v>
      </c>
      <c r="AE28" s="275">
        <v>3</v>
      </c>
      <c r="AF28" s="275">
        <v>3</v>
      </c>
      <c r="AG28" s="275">
        <v>4</v>
      </c>
      <c r="AH28" s="275">
        <v>4</v>
      </c>
      <c r="AI28" s="275">
        <v>5</v>
      </c>
      <c r="AJ28" s="275">
        <v>5</v>
      </c>
      <c r="AK28" s="275">
        <v>6</v>
      </c>
      <c r="AL28" s="275">
        <v>6</v>
      </c>
      <c r="AM28" s="275">
        <v>7</v>
      </c>
      <c r="AN28" s="275">
        <v>7</v>
      </c>
      <c r="AO28" s="275">
        <v>8</v>
      </c>
      <c r="AP28" s="275">
        <v>8</v>
      </c>
      <c r="AQ28" s="275">
        <v>9</v>
      </c>
      <c r="AR28" s="275">
        <v>9</v>
      </c>
      <c r="AS28" s="275">
        <v>10</v>
      </c>
      <c r="AT28" s="275">
        <v>10</v>
      </c>
      <c r="AU28" s="275">
        <v>11</v>
      </c>
      <c r="AV28" s="275">
        <v>11</v>
      </c>
      <c r="AW28" s="275">
        <v>12</v>
      </c>
      <c r="AX28" s="275">
        <v>12</v>
      </c>
      <c r="AY28" s="275">
        <v>13</v>
      </c>
      <c r="AZ28" s="275">
        <v>13</v>
      </c>
      <c r="BA28" s="275">
        <v>14</v>
      </c>
      <c r="BB28" s="275">
        <v>14</v>
      </c>
      <c r="BC28" s="275">
        <v>15</v>
      </c>
      <c r="BD28" s="275">
        <v>15</v>
      </c>
      <c r="BE28" s="275">
        <v>16</v>
      </c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</row>
    <row r="29" spans="1:117" x14ac:dyDescent="0.25">
      <c r="Z29" s="276">
        <f>F9</f>
        <v>0.5</v>
      </c>
      <c r="AA29" s="276">
        <f>Z29</f>
        <v>0.5</v>
      </c>
      <c r="AB29" s="276">
        <f>G9</f>
        <v>0.5</v>
      </c>
      <c r="AC29" s="276">
        <f>AB29</f>
        <v>0.5</v>
      </c>
      <c r="AD29" s="276">
        <f>H9</f>
        <v>0.5</v>
      </c>
      <c r="AE29" s="276">
        <f>AD29</f>
        <v>0.5</v>
      </c>
      <c r="AF29" s="276">
        <f>I9</f>
        <v>1</v>
      </c>
      <c r="AG29" s="276">
        <f>AF29</f>
        <v>1</v>
      </c>
      <c r="AH29" s="276">
        <f>J9</f>
        <v>1</v>
      </c>
      <c r="AI29" s="276">
        <f>AH29</f>
        <v>1</v>
      </c>
      <c r="AJ29" s="276">
        <f>K9</f>
        <v>1</v>
      </c>
      <c r="AK29" s="276">
        <f>AJ29</f>
        <v>1</v>
      </c>
      <c r="AL29" s="276">
        <f>L9</f>
        <v>1</v>
      </c>
      <c r="AM29" s="276">
        <f>AL29</f>
        <v>1</v>
      </c>
      <c r="AN29" s="276">
        <f>M9</f>
        <v>1</v>
      </c>
      <c r="AO29" s="276">
        <f>AN29</f>
        <v>1</v>
      </c>
      <c r="AP29" s="276">
        <f>N9</f>
        <v>1</v>
      </c>
      <c r="AQ29" s="276">
        <f>AP29</f>
        <v>1</v>
      </c>
      <c r="AR29" s="276">
        <f>O9</f>
        <v>1</v>
      </c>
      <c r="AS29" s="276">
        <f>AR29</f>
        <v>1</v>
      </c>
      <c r="AT29" s="276">
        <f>P9</f>
        <v>1</v>
      </c>
      <c r="AU29" s="276">
        <f>AT29</f>
        <v>1</v>
      </c>
      <c r="AV29" s="276">
        <f>Q9</f>
        <v>1</v>
      </c>
      <c r="AW29" s="276">
        <f>AV29</f>
        <v>1</v>
      </c>
      <c r="AX29" s="276">
        <f>R9</f>
        <v>1</v>
      </c>
      <c r="AY29" s="276">
        <f>AX29</f>
        <v>1</v>
      </c>
      <c r="AZ29" s="276">
        <f>S9</f>
        <v>1</v>
      </c>
      <c r="BA29" s="276">
        <f>AZ29</f>
        <v>1</v>
      </c>
      <c r="BB29" s="276">
        <f>T9</f>
        <v>0.75</v>
      </c>
      <c r="BC29" s="276">
        <f>BB29</f>
        <v>0.75</v>
      </c>
      <c r="BD29" s="276">
        <f>U9</f>
        <v>0.75</v>
      </c>
      <c r="BE29" s="276">
        <f>BD29</f>
        <v>0.75</v>
      </c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</row>
    <row r="30" spans="1:117" x14ac:dyDescent="0.25">
      <c r="Z30" s="276">
        <f>F12</f>
        <v>0.5</v>
      </c>
      <c r="AA30" s="276">
        <f t="shared" ref="AA30:AC31" si="6">Z30</f>
        <v>0.5</v>
      </c>
      <c r="AB30" s="276">
        <f>G12</f>
        <v>0.5</v>
      </c>
      <c r="AC30" s="276">
        <f t="shared" si="6"/>
        <v>0.5</v>
      </c>
      <c r="AD30" s="276">
        <f>H12</f>
        <v>0.5</v>
      </c>
      <c r="AE30" s="276">
        <f>AD30</f>
        <v>0.5</v>
      </c>
      <c r="AF30" s="276">
        <f>I12</f>
        <v>1</v>
      </c>
      <c r="AG30" s="276">
        <f>AF30</f>
        <v>1</v>
      </c>
      <c r="AH30" s="276">
        <f>J12</f>
        <v>1</v>
      </c>
      <c r="AI30" s="276">
        <f>AH30</f>
        <v>1</v>
      </c>
      <c r="AJ30" s="276">
        <f>K12</f>
        <v>1</v>
      </c>
      <c r="AK30" s="276">
        <f>AJ30</f>
        <v>1</v>
      </c>
      <c r="AL30" s="276">
        <f>L12</f>
        <v>1</v>
      </c>
      <c r="AM30" s="276">
        <f>AL30</f>
        <v>1</v>
      </c>
      <c r="AN30" s="276">
        <f>M12</f>
        <v>1</v>
      </c>
      <c r="AO30" s="276">
        <f>AN30</f>
        <v>1</v>
      </c>
      <c r="AP30" s="276">
        <f>N12</f>
        <v>1</v>
      </c>
      <c r="AQ30" s="276">
        <f>AP30</f>
        <v>1</v>
      </c>
      <c r="AR30" s="276">
        <f>O12</f>
        <v>1.5</v>
      </c>
      <c r="AS30" s="276">
        <f>AR30</f>
        <v>1.5</v>
      </c>
      <c r="AT30" s="276">
        <f>P12</f>
        <v>1.5</v>
      </c>
      <c r="AU30" s="276">
        <f>AT30</f>
        <v>1.5</v>
      </c>
      <c r="AV30" s="276">
        <f>Q12</f>
        <v>1.5</v>
      </c>
      <c r="AW30" s="276">
        <f>AV30</f>
        <v>1.5</v>
      </c>
      <c r="AX30" s="276">
        <f>R12</f>
        <v>1.5</v>
      </c>
      <c r="AY30" s="276">
        <f>AX30</f>
        <v>1.5</v>
      </c>
      <c r="AZ30" s="276">
        <f>S12</f>
        <v>1.5</v>
      </c>
      <c r="BA30" s="276">
        <f>AZ30</f>
        <v>1.5</v>
      </c>
      <c r="BB30" s="276">
        <f>T12</f>
        <v>1</v>
      </c>
      <c r="BC30" s="276">
        <f>BB30</f>
        <v>1</v>
      </c>
      <c r="BD30" s="276">
        <f>U12</f>
        <v>1</v>
      </c>
      <c r="BE30" s="276">
        <f>BD30</f>
        <v>1</v>
      </c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</row>
    <row r="31" spans="1:117" x14ac:dyDescent="0.25">
      <c r="Z31" s="276">
        <f>F15</f>
        <v>0.05</v>
      </c>
      <c r="AA31" s="276">
        <f t="shared" si="6"/>
        <v>0.05</v>
      </c>
      <c r="AB31" s="276">
        <f>G15</f>
        <v>0.05</v>
      </c>
      <c r="AC31" s="276">
        <f t="shared" si="6"/>
        <v>0.05</v>
      </c>
      <c r="AD31" s="276">
        <f>H15</f>
        <v>0.05</v>
      </c>
      <c r="AE31" s="276">
        <f>AD31</f>
        <v>0.05</v>
      </c>
      <c r="AF31" s="276">
        <f>I15</f>
        <v>0.05</v>
      </c>
      <c r="AG31" s="276">
        <f>AF31</f>
        <v>0.05</v>
      </c>
      <c r="AH31" s="276">
        <f>J15</f>
        <v>0.05</v>
      </c>
      <c r="AI31" s="276">
        <f>AH31</f>
        <v>0.05</v>
      </c>
      <c r="AJ31" s="276">
        <f>K15</f>
        <v>0.05</v>
      </c>
      <c r="AK31" s="276">
        <f>AJ31</f>
        <v>0.05</v>
      </c>
      <c r="AL31" s="276">
        <f>L15</f>
        <v>0.05</v>
      </c>
      <c r="AM31" s="276">
        <f>AL31</f>
        <v>0.05</v>
      </c>
      <c r="AN31" s="276">
        <f>M15</f>
        <v>0.05</v>
      </c>
      <c r="AO31" s="276">
        <f>AN31</f>
        <v>0.05</v>
      </c>
      <c r="AP31" s="276">
        <f>N15</f>
        <v>0.05</v>
      </c>
      <c r="AQ31" s="276">
        <f>AP31</f>
        <v>0.05</v>
      </c>
      <c r="AR31" s="276">
        <f>O15</f>
        <v>0.05</v>
      </c>
      <c r="AS31" s="276">
        <f>AR31</f>
        <v>0.05</v>
      </c>
      <c r="AT31" s="276">
        <f>P15</f>
        <v>0.05</v>
      </c>
      <c r="AU31" s="276">
        <f>AT31</f>
        <v>0.05</v>
      </c>
      <c r="AV31" s="276">
        <f>Q15</f>
        <v>0.05</v>
      </c>
      <c r="AW31" s="276">
        <f>AV31</f>
        <v>0.05</v>
      </c>
      <c r="AX31" s="276">
        <f>R15</f>
        <v>0.05</v>
      </c>
      <c r="AY31" s="276">
        <f>AX31</f>
        <v>0.05</v>
      </c>
      <c r="AZ31" s="276">
        <f>S15</f>
        <v>0.05</v>
      </c>
      <c r="BA31" s="276">
        <f>AZ31</f>
        <v>0.05</v>
      </c>
      <c r="BB31" s="276">
        <f>T15</f>
        <v>0.05</v>
      </c>
      <c r="BC31" s="276">
        <f>BB31</f>
        <v>0.05</v>
      </c>
      <c r="BD31" s="276">
        <f>U15</f>
        <v>0.05</v>
      </c>
      <c r="BE31" s="276">
        <f>BD31</f>
        <v>0.05</v>
      </c>
    </row>
    <row r="32" spans="1:117" x14ac:dyDescent="0.25"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4"/>
    </row>
    <row r="33" spans="25:76" x14ac:dyDescent="0.25"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</row>
    <row r="34" spans="25:76" x14ac:dyDescent="0.25">
      <c r="Y34" s="43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</row>
    <row r="35" spans="25:76" x14ac:dyDescent="0.25">
      <c r="Y35" s="43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</row>
    <row r="36" spans="25:76" x14ac:dyDescent="0.25">
      <c r="Y36" s="43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</row>
    <row r="37" spans="25:76" x14ac:dyDescent="0.25"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</row>
    <row r="38" spans="25:76" x14ac:dyDescent="0.25">
      <c r="Y38" s="43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</row>
    <row r="39" spans="25:76" x14ac:dyDescent="0.25"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</row>
    <row r="40" spans="25:76" x14ac:dyDescent="0.25"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</row>
    <row r="41" spans="25:76" x14ac:dyDescent="0.25"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</row>
    <row r="42" spans="25:76" x14ac:dyDescent="0.25"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</row>
    <row r="43" spans="25:76" x14ac:dyDescent="0.25"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</row>
  </sheetData>
  <mergeCells count="18">
    <mergeCell ref="A17:E17"/>
    <mergeCell ref="D6:D8"/>
    <mergeCell ref="C6:C8"/>
    <mergeCell ref="A6:A8"/>
    <mergeCell ref="E6:E8"/>
    <mergeCell ref="A10:E10"/>
    <mergeCell ref="A13:E13"/>
    <mergeCell ref="A16:E16"/>
    <mergeCell ref="A11:E11"/>
    <mergeCell ref="B7:B8"/>
    <mergeCell ref="A14:E14"/>
    <mergeCell ref="F6:H6"/>
    <mergeCell ref="I6:S6"/>
    <mergeCell ref="T19:U19"/>
    <mergeCell ref="F19:H19"/>
    <mergeCell ref="I19:S19"/>
    <mergeCell ref="T6:U6"/>
    <mergeCell ref="F7:U7"/>
  </mergeCells>
  <pageMargins left="0.70866141732283472" right="0.70866141732283472" top="0.78740157480314965" bottom="0.78740157480314965" header="0.31496062992125984" footer="0.31496062992125984"/>
  <pageSetup paperSize="9" scale="92" fitToHeight="0" orientation="landscape" r:id="rId1"/>
  <rowBreaks count="1" manualBreakCount="1">
    <brk id="23" max="16383" man="1"/>
  </rowBreaks>
  <colBreaks count="1" manualBreakCount="1">
    <brk id="23" max="2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showGridLines="0" zoomScaleNormal="100" zoomScaleSheetLayoutView="85" workbookViewId="0">
      <selection activeCell="D20" sqref="D20"/>
    </sheetView>
  </sheetViews>
  <sheetFormatPr baseColWidth="10" defaultColWidth="11.44140625" defaultRowHeight="15" x14ac:dyDescent="0.25"/>
  <cols>
    <col min="1" max="1" width="4.5546875" style="41" customWidth="1"/>
    <col min="2" max="2" width="35.33203125" style="41" customWidth="1"/>
    <col min="3" max="3" width="1.33203125" style="41" customWidth="1"/>
    <col min="4" max="4" width="12.88671875" style="41" customWidth="1"/>
    <col min="5" max="5" width="9.88671875" style="41" customWidth="1"/>
    <col min="6" max="6" width="7.88671875" style="41" customWidth="1"/>
    <col min="7" max="7" width="10.33203125" style="41" customWidth="1"/>
    <col min="8" max="8" width="1.44140625" style="162" customWidth="1"/>
    <col min="9" max="9" width="6.33203125" style="41" customWidth="1"/>
    <col min="10" max="10" width="9.109375" style="41" customWidth="1"/>
    <col min="11" max="11" width="10.6640625" style="41" customWidth="1"/>
    <col min="12" max="12" width="14.44140625" style="41" customWidth="1"/>
    <col min="13" max="16384" width="11.44140625" style="41"/>
  </cols>
  <sheetData>
    <row r="1" spans="1:11" ht="17.399999999999999" x14ac:dyDescent="0.3">
      <c r="A1" s="65" t="s">
        <v>168</v>
      </c>
      <c r="B1" s="40"/>
      <c r="C1" s="40"/>
      <c r="D1" s="40"/>
      <c r="E1" s="40"/>
      <c r="F1" s="40"/>
    </row>
    <row r="2" spans="1:11" x14ac:dyDescent="0.25">
      <c r="A2" s="40"/>
      <c r="B2" s="40"/>
      <c r="C2" s="40"/>
      <c r="D2" s="40"/>
      <c r="E2" s="40"/>
      <c r="F2" s="40"/>
    </row>
    <row r="3" spans="1:11" s="33" customFormat="1" ht="15.6" x14ac:dyDescent="0.3">
      <c r="A3" s="32" t="s">
        <v>53</v>
      </c>
      <c r="B3" s="32"/>
      <c r="C3" s="32"/>
      <c r="D3" s="347" t="str">
        <f>IF(Leistungsumfang!D3:I3="","",Leistungsumfang!D3:I3)</f>
        <v>Bürogebäude 3-stöckig, Salzburg</v>
      </c>
      <c r="E3" s="347"/>
      <c r="F3" s="347"/>
      <c r="G3" s="347"/>
      <c r="H3" s="347"/>
      <c r="I3" s="347"/>
      <c r="J3" s="347"/>
      <c r="K3" s="347"/>
    </row>
    <row r="4" spans="1:11" s="33" customFormat="1" ht="15.6" x14ac:dyDescent="0.3">
      <c r="A4" s="32" t="s">
        <v>54</v>
      </c>
      <c r="B4" s="32"/>
      <c r="C4" s="32"/>
      <c r="D4" s="347" t="str">
        <f>IF(Leistungsumfang!D4:I4="","",Leistungsumfang!D4:I4)</f>
        <v>AG 02</v>
      </c>
      <c r="E4" s="347"/>
      <c r="F4" s="347"/>
      <c r="G4" s="347"/>
      <c r="H4" s="347"/>
      <c r="I4" s="347"/>
      <c r="J4" s="347"/>
      <c r="K4" s="347"/>
    </row>
    <row r="5" spans="1:11" s="33" customFormat="1" ht="15.6" hidden="1" x14ac:dyDescent="0.3">
      <c r="A5" s="32"/>
      <c r="B5" s="32"/>
      <c r="C5" s="32"/>
      <c r="D5" s="32"/>
      <c r="E5" s="32"/>
      <c r="F5" s="32"/>
      <c r="H5" s="163"/>
    </row>
    <row r="6" spans="1:11" hidden="1" x14ac:dyDescent="0.25">
      <c r="A6" s="40"/>
      <c r="B6" s="40" t="s">
        <v>55</v>
      </c>
      <c r="C6" s="40"/>
      <c r="D6" s="40"/>
      <c r="E6" s="40"/>
      <c r="F6" s="40"/>
    </row>
    <row r="7" spans="1:11" s="1" customFormat="1" ht="18" hidden="1" customHeight="1" x14ac:dyDescent="0.25">
      <c r="A7" s="44"/>
      <c r="B7" s="47" t="s">
        <v>56</v>
      </c>
      <c r="C7" s="58"/>
      <c r="D7" s="348" t="e">
        <f>#REF!</f>
        <v>#REF!</v>
      </c>
      <c r="E7" s="348"/>
      <c r="F7" s="58" t="s">
        <v>68</v>
      </c>
      <c r="H7" s="164"/>
    </row>
    <row r="8" spans="1:11" s="1" customFormat="1" ht="18" hidden="1" customHeight="1" x14ac:dyDescent="0.25">
      <c r="A8" s="44"/>
      <c r="B8" s="47" t="s">
        <v>104</v>
      </c>
      <c r="C8" s="58"/>
      <c r="D8" s="348">
        <f>Projektklassenfaktor!D40</f>
        <v>1.2142149999999998</v>
      </c>
      <c r="E8" s="348"/>
      <c r="F8" s="58" t="s">
        <v>69</v>
      </c>
      <c r="H8" s="164"/>
    </row>
    <row r="9" spans="1:11" s="1" customFormat="1" ht="18" hidden="1" customHeight="1" x14ac:dyDescent="0.25">
      <c r="A9" s="44"/>
      <c r="B9" s="47" t="s">
        <v>121</v>
      </c>
      <c r="C9" s="58"/>
      <c r="D9" s="349">
        <v>8</v>
      </c>
      <c r="E9" s="349"/>
      <c r="F9" s="58" t="s">
        <v>122</v>
      </c>
      <c r="H9" s="164"/>
    </row>
    <row r="10" spans="1:11" s="1" customFormat="1" ht="18" hidden="1" customHeight="1" x14ac:dyDescent="0.25">
      <c r="A10" s="44"/>
      <c r="B10" s="47" t="s">
        <v>96</v>
      </c>
      <c r="C10" s="58"/>
      <c r="D10" s="346">
        <v>8500</v>
      </c>
      <c r="E10" s="346"/>
      <c r="F10" s="58" t="s">
        <v>97</v>
      </c>
      <c r="H10" s="164"/>
      <c r="I10" s="88" t="s">
        <v>105</v>
      </c>
      <c r="J10" s="92">
        <v>1322.5</v>
      </c>
      <c r="K10" s="58" t="s">
        <v>98</v>
      </c>
    </row>
    <row r="11" spans="1:11" s="1" customFormat="1" ht="18" hidden="1" customHeight="1" x14ac:dyDescent="0.25">
      <c r="A11" s="44"/>
      <c r="B11" s="47" t="s">
        <v>125</v>
      </c>
      <c r="C11" s="58"/>
      <c r="D11" s="350">
        <f>Leistungsumfang!F45</f>
        <v>16</v>
      </c>
      <c r="E11" s="350"/>
      <c r="F11" s="58" t="s">
        <v>127</v>
      </c>
      <c r="H11" s="164"/>
    </row>
    <row r="12" spans="1:11" s="1" customFormat="1" ht="14.4" thickBot="1" x14ac:dyDescent="0.3">
      <c r="A12" s="44"/>
      <c r="B12" s="44"/>
      <c r="C12" s="44"/>
      <c r="D12" s="52"/>
      <c r="E12" s="52"/>
      <c r="F12" s="44"/>
      <c r="H12" s="164"/>
    </row>
    <row r="13" spans="1:11" s="48" customFormat="1" ht="20.25" customHeight="1" thickBot="1" x14ac:dyDescent="0.3">
      <c r="A13" s="351" t="s">
        <v>57</v>
      </c>
      <c r="B13" s="355" t="s">
        <v>58</v>
      </c>
      <c r="C13" s="44"/>
      <c r="D13" s="362" t="s">
        <v>176</v>
      </c>
      <c r="E13" s="363"/>
      <c r="F13" s="363"/>
      <c r="G13" s="364"/>
      <c r="H13" s="165"/>
      <c r="I13" s="172"/>
      <c r="J13" s="158"/>
      <c r="K13" s="159"/>
    </row>
    <row r="14" spans="1:11" s="48" customFormat="1" ht="66" x14ac:dyDescent="0.25">
      <c r="A14" s="352"/>
      <c r="B14" s="356"/>
      <c r="C14" s="44"/>
      <c r="D14" s="122" t="s">
        <v>120</v>
      </c>
      <c r="E14" s="123" t="s">
        <v>119</v>
      </c>
      <c r="F14" s="124" t="s">
        <v>123</v>
      </c>
      <c r="G14" s="173" t="s">
        <v>157</v>
      </c>
      <c r="H14" s="166"/>
      <c r="I14" s="365" t="s">
        <v>167</v>
      </c>
      <c r="J14" s="366"/>
      <c r="K14" s="367"/>
    </row>
    <row r="15" spans="1:11" s="48" customFormat="1" ht="13.8" x14ac:dyDescent="0.25">
      <c r="A15" s="353"/>
      <c r="B15" s="357"/>
      <c r="C15" s="44"/>
      <c r="D15" s="85" t="s">
        <v>115</v>
      </c>
      <c r="E15" s="86" t="s">
        <v>116</v>
      </c>
      <c r="F15" s="87" t="s">
        <v>117</v>
      </c>
      <c r="G15" s="174" t="s">
        <v>118</v>
      </c>
      <c r="H15" s="166"/>
      <c r="I15" s="368"/>
      <c r="J15" s="369"/>
      <c r="K15" s="370"/>
    </row>
    <row r="16" spans="1:11" s="48" customFormat="1" ht="14.4" thickBot="1" x14ac:dyDescent="0.3">
      <c r="A16" s="354"/>
      <c r="B16" s="358"/>
      <c r="C16" s="44"/>
      <c r="D16" s="89" t="s">
        <v>108</v>
      </c>
      <c r="E16" s="90" t="s">
        <v>107</v>
      </c>
      <c r="F16" s="90" t="s">
        <v>109</v>
      </c>
      <c r="G16" s="175" t="s">
        <v>110</v>
      </c>
      <c r="H16" s="167"/>
      <c r="I16" s="359" t="s">
        <v>166</v>
      </c>
      <c r="J16" s="360"/>
      <c r="K16" s="361"/>
    </row>
    <row r="17" spans="1:12" s="1" customFormat="1" ht="14.4" thickBot="1" x14ac:dyDescent="0.3">
      <c r="A17" s="49"/>
      <c r="B17" s="49"/>
      <c r="C17" s="44"/>
      <c r="D17" s="44"/>
      <c r="E17" s="44"/>
      <c r="F17" s="44"/>
      <c r="H17" s="164"/>
    </row>
    <row r="18" spans="1:12" ht="16.5" customHeight="1" thickBot="1" x14ac:dyDescent="0.35">
      <c r="A18" s="50" t="s">
        <v>84</v>
      </c>
      <c r="B18" s="51"/>
      <c r="C18" s="40"/>
      <c r="D18" s="146" t="s">
        <v>165</v>
      </c>
      <c r="E18" s="96"/>
      <c r="F18" s="243">
        <f>Leistungsumfang!F9</f>
        <v>3</v>
      </c>
      <c r="G18" s="121"/>
      <c r="H18" s="168"/>
      <c r="I18" s="176" t="s">
        <v>169</v>
      </c>
      <c r="J18" s="244">
        <f>Personaleinsatzplan!G21</f>
        <v>146.92124999999996</v>
      </c>
      <c r="K18" s="177" t="s">
        <v>128</v>
      </c>
    </row>
    <row r="19" spans="1:12" s="1" customFormat="1" ht="8.25" customHeight="1" x14ac:dyDescent="0.25">
      <c r="A19" s="44"/>
      <c r="B19" s="49"/>
      <c r="C19" s="44"/>
      <c r="D19" s="44"/>
      <c r="E19" s="44"/>
      <c r="F19" s="44"/>
      <c r="H19" s="164"/>
      <c r="L19" s="151"/>
    </row>
    <row r="20" spans="1:12" s="1" customFormat="1" ht="15" customHeight="1" x14ac:dyDescent="0.25">
      <c r="A20" s="46" t="s">
        <v>59</v>
      </c>
      <c r="B20" s="45" t="s">
        <v>76</v>
      </c>
      <c r="C20" s="44"/>
      <c r="D20" s="91">
        <v>47</v>
      </c>
      <c r="E20" s="82">
        <f>D20/$D$29</f>
        <v>0.31972789115646261</v>
      </c>
      <c r="F20" s="83">
        <f>Leistungsumfang!E11</f>
        <v>3</v>
      </c>
      <c r="G20" s="147">
        <f t="shared" ref="G20:G28" si="0">D20*F20</f>
        <v>141</v>
      </c>
      <c r="H20" s="169"/>
      <c r="I20" s="371" t="str">
        <f>IF(OR(D29-J18&gt;1,D29-J18&lt;-1),"Mittlere Stunden aus PEP weichen von den Stunden aus der Summe über die Teilleistungen ab!","")</f>
        <v/>
      </c>
      <c r="J20" s="371"/>
      <c r="K20" s="371"/>
      <c r="L20" s="151"/>
    </row>
    <row r="21" spans="1:12" s="1" customFormat="1" ht="13.8" x14ac:dyDescent="0.25">
      <c r="A21" s="46" t="s">
        <v>62</v>
      </c>
      <c r="B21" s="45" t="s">
        <v>77</v>
      </c>
      <c r="C21" s="44"/>
      <c r="D21" s="91">
        <v>40</v>
      </c>
      <c r="E21" s="82">
        <f t="shared" ref="E21:E28" si="1">D21/$D$29</f>
        <v>0.27210884353741499</v>
      </c>
      <c r="F21" s="83">
        <f>Leistungsumfang!E12</f>
        <v>3</v>
      </c>
      <c r="G21" s="147">
        <f t="shared" si="0"/>
        <v>120</v>
      </c>
      <c r="H21" s="169"/>
      <c r="I21" s="371"/>
      <c r="J21" s="371"/>
      <c r="K21" s="371"/>
      <c r="L21" s="151"/>
    </row>
    <row r="22" spans="1:12" s="1" customFormat="1" ht="13.8" x14ac:dyDescent="0.25">
      <c r="A22" s="46" t="s">
        <v>63</v>
      </c>
      <c r="B22" s="45" t="s">
        <v>78</v>
      </c>
      <c r="C22" s="44"/>
      <c r="D22" s="91">
        <v>30</v>
      </c>
      <c r="E22" s="82">
        <f t="shared" si="1"/>
        <v>0.20408163265306123</v>
      </c>
      <c r="F22" s="83">
        <f>Leistungsumfang!E13</f>
        <v>3</v>
      </c>
      <c r="G22" s="147">
        <f t="shared" si="0"/>
        <v>90</v>
      </c>
      <c r="H22" s="169"/>
      <c r="I22" s="371"/>
      <c r="J22" s="371"/>
      <c r="K22" s="371"/>
      <c r="L22" s="151"/>
    </row>
    <row r="23" spans="1:12" s="1" customFormat="1" ht="13.8" x14ac:dyDescent="0.25">
      <c r="A23" s="46" t="s">
        <v>64</v>
      </c>
      <c r="B23" s="45" t="s">
        <v>79</v>
      </c>
      <c r="C23" s="44"/>
      <c r="D23" s="91">
        <v>0</v>
      </c>
      <c r="E23" s="82">
        <f t="shared" si="1"/>
        <v>0</v>
      </c>
      <c r="F23" s="83">
        <f>Leistungsumfang!E14</f>
        <v>0</v>
      </c>
      <c r="G23" s="147">
        <f t="shared" si="0"/>
        <v>0</v>
      </c>
      <c r="H23" s="169"/>
      <c r="I23" s="371"/>
      <c r="J23" s="371"/>
      <c r="K23" s="371"/>
      <c r="L23" s="151"/>
    </row>
    <row r="24" spans="1:12" s="1" customFormat="1" ht="27.6" x14ac:dyDescent="0.25">
      <c r="A24" s="46" t="s">
        <v>65</v>
      </c>
      <c r="B24" s="45" t="s">
        <v>80</v>
      </c>
      <c r="C24" s="44"/>
      <c r="D24" s="91">
        <v>0</v>
      </c>
      <c r="E24" s="82">
        <f t="shared" si="1"/>
        <v>0</v>
      </c>
      <c r="F24" s="83">
        <f>Leistungsumfang!E15</f>
        <v>0</v>
      </c>
      <c r="G24" s="147">
        <f t="shared" si="0"/>
        <v>0</v>
      </c>
      <c r="H24" s="169"/>
      <c r="I24" s="371"/>
      <c r="J24" s="371"/>
      <c r="K24" s="371"/>
      <c r="L24" s="151"/>
    </row>
    <row r="25" spans="1:12" s="1" customFormat="1" ht="13.8" x14ac:dyDescent="0.25">
      <c r="A25" s="46" t="s">
        <v>66</v>
      </c>
      <c r="B25" s="45" t="s">
        <v>81</v>
      </c>
      <c r="C25" s="44"/>
      <c r="D25" s="91">
        <v>0</v>
      </c>
      <c r="E25" s="82">
        <f t="shared" si="1"/>
        <v>0</v>
      </c>
      <c r="F25" s="83">
        <f>Leistungsumfang!E16</f>
        <v>0</v>
      </c>
      <c r="G25" s="147">
        <f t="shared" si="0"/>
        <v>0</v>
      </c>
      <c r="H25" s="169"/>
      <c r="I25" s="371"/>
      <c r="J25" s="371"/>
      <c r="K25" s="371"/>
      <c r="L25" s="151"/>
    </row>
    <row r="26" spans="1:12" s="1" customFormat="1" ht="13.8" x14ac:dyDescent="0.25">
      <c r="A26" s="46" t="s">
        <v>60</v>
      </c>
      <c r="B26" s="55" t="s">
        <v>82</v>
      </c>
      <c r="C26" s="44"/>
      <c r="D26" s="91">
        <v>0</v>
      </c>
      <c r="E26" s="82">
        <f t="shared" si="1"/>
        <v>0</v>
      </c>
      <c r="F26" s="83">
        <f>Leistungsumfang!E17</f>
        <v>0</v>
      </c>
      <c r="G26" s="147">
        <f t="shared" si="0"/>
        <v>0</v>
      </c>
      <c r="H26" s="169"/>
      <c r="I26" s="371"/>
      <c r="J26" s="371"/>
      <c r="K26" s="371"/>
      <c r="L26" s="151"/>
    </row>
    <row r="27" spans="1:12" s="1" customFormat="1" ht="13.8" x14ac:dyDescent="0.25">
      <c r="A27" s="46" t="s">
        <v>61</v>
      </c>
      <c r="B27" s="55" t="s">
        <v>83</v>
      </c>
      <c r="C27" s="44"/>
      <c r="D27" s="91">
        <v>30</v>
      </c>
      <c r="E27" s="82">
        <f t="shared" si="1"/>
        <v>0.20408163265306123</v>
      </c>
      <c r="F27" s="83">
        <f>Leistungsumfang!E18</f>
        <v>3</v>
      </c>
      <c r="G27" s="147">
        <f t="shared" si="0"/>
        <v>90</v>
      </c>
      <c r="H27" s="169"/>
      <c r="I27" s="371" t="str">
        <f>IF(OR(D29-J18&gt;1,D29-J18&lt;-1),"Abweichung beträgt:","")</f>
        <v/>
      </c>
      <c r="J27" s="371"/>
      <c r="K27" s="181"/>
      <c r="L27" s="151"/>
    </row>
    <row r="28" spans="1:12" s="1" customFormat="1" ht="13.8" x14ac:dyDescent="0.25">
      <c r="A28" s="46" t="s">
        <v>70</v>
      </c>
      <c r="B28" s="55" t="s">
        <v>71</v>
      </c>
      <c r="C28" s="44"/>
      <c r="D28" s="91">
        <v>0</v>
      </c>
      <c r="E28" s="82">
        <f t="shared" si="1"/>
        <v>0</v>
      </c>
      <c r="F28" s="83">
        <f>Leistungsumfang!E19</f>
        <v>0</v>
      </c>
      <c r="G28" s="147">
        <f t="shared" si="0"/>
        <v>0</v>
      </c>
      <c r="H28" s="169"/>
      <c r="I28" s="371"/>
      <c r="J28" s="371"/>
      <c r="K28" s="242">
        <f>ABS(J18/D29-1)</f>
        <v>5.3571428571452806E-4</v>
      </c>
      <c r="L28" s="151"/>
    </row>
    <row r="29" spans="1:12" s="1" customFormat="1" ht="14.4" x14ac:dyDescent="0.25">
      <c r="A29" s="56"/>
      <c r="B29" s="57" t="s">
        <v>95</v>
      </c>
      <c r="C29" s="58"/>
      <c r="D29" s="251">
        <f>SUM(D20:D28)</f>
        <v>147</v>
      </c>
      <c r="E29" s="252">
        <f>SUM(E20:E28)</f>
        <v>1</v>
      </c>
      <c r="F29" s="59"/>
      <c r="H29" s="164"/>
      <c r="L29" s="151"/>
    </row>
    <row r="30" spans="1:12" s="1" customFormat="1" ht="7.5" customHeight="1" x14ac:dyDescent="0.25">
      <c r="A30" s="56"/>
      <c r="B30" s="57"/>
      <c r="C30" s="58"/>
      <c r="D30" s="59"/>
      <c r="E30" s="125"/>
      <c r="F30" s="59"/>
      <c r="H30" s="164"/>
      <c r="L30" s="151"/>
    </row>
    <row r="31" spans="1:12" s="1" customFormat="1" ht="14.4" x14ac:dyDescent="0.25">
      <c r="A31" s="56"/>
      <c r="B31" s="57" t="s">
        <v>175</v>
      </c>
      <c r="C31" s="58"/>
      <c r="D31" s="249">
        <f>D29*Personaleinsatzplan!G20*F18</f>
        <v>43295.743572480009</v>
      </c>
      <c r="E31" s="125"/>
      <c r="F31" s="59"/>
      <c r="H31" s="164"/>
      <c r="J31" s="160"/>
      <c r="K31" s="246">
        <f>SUM(Personaleinsatzplan!F11:H11,Personaleinsatzplan!F14:H14,Personaleinsatzplan!F17:H17)</f>
        <v>43272.549424137593</v>
      </c>
      <c r="L31" s="151"/>
    </row>
    <row r="32" spans="1:12" s="1" customFormat="1" ht="14.4" thickBot="1" x14ac:dyDescent="0.3">
      <c r="A32" s="44"/>
      <c r="B32" s="44"/>
      <c r="C32" s="44"/>
      <c r="D32" s="44"/>
      <c r="E32" s="44"/>
      <c r="F32" s="44"/>
      <c r="H32" s="164"/>
      <c r="L32" s="151"/>
    </row>
    <row r="33" spans="1:12" ht="16.2" thickBot="1" x14ac:dyDescent="0.35">
      <c r="A33" s="50" t="s">
        <v>86</v>
      </c>
      <c r="B33" s="77"/>
      <c r="C33" s="40"/>
      <c r="D33" s="146" t="s">
        <v>165</v>
      </c>
      <c r="E33" s="96"/>
      <c r="F33" s="243">
        <f>Leistungsumfang!F21</f>
        <v>11</v>
      </c>
      <c r="G33" s="121"/>
      <c r="H33" s="168"/>
      <c r="I33" s="176" t="s">
        <v>169</v>
      </c>
      <c r="J33" s="244">
        <f>Personaleinsatzplan!N21</f>
        <v>318.64738636363643</v>
      </c>
      <c r="K33" s="177" t="s">
        <v>128</v>
      </c>
    </row>
    <row r="34" spans="1:12" s="1" customFormat="1" ht="8.25" customHeight="1" x14ac:dyDescent="0.25">
      <c r="A34" s="44"/>
      <c r="B34" s="44"/>
      <c r="C34" s="44"/>
      <c r="D34" s="44"/>
      <c r="E34" s="44"/>
      <c r="F34" s="44"/>
      <c r="H34" s="164"/>
      <c r="L34" s="151"/>
    </row>
    <row r="35" spans="1:12" s="1" customFormat="1" ht="14.25" customHeight="1" x14ac:dyDescent="0.25">
      <c r="A35" s="46" t="s">
        <v>59</v>
      </c>
      <c r="B35" s="45" t="s">
        <v>76</v>
      </c>
      <c r="C35" s="44"/>
      <c r="D35" s="91">
        <v>105</v>
      </c>
      <c r="E35" s="82">
        <f>D35/$D$44</f>
        <v>0.328125</v>
      </c>
      <c r="F35" s="83">
        <f>Leistungsumfang!E23</f>
        <v>8</v>
      </c>
      <c r="G35" s="147">
        <f t="shared" ref="G35:G43" si="2">D35*F35</f>
        <v>840</v>
      </c>
      <c r="H35" s="169"/>
      <c r="I35" s="371" t="str">
        <f>IF(OR(D44-J33&gt;1,D44-J33&lt;-1),"Mittlere Stunden aus PEP weichen von den Stunden aus der Summe über die Teilleistungen ab!","")</f>
        <v>Mittlere Stunden aus PEP weichen von den Stunden aus der Summe über die Teilleistungen ab!</v>
      </c>
      <c r="J35" s="371"/>
      <c r="K35" s="371"/>
      <c r="L35" s="151"/>
    </row>
    <row r="36" spans="1:12" s="1" customFormat="1" ht="13.8" x14ac:dyDescent="0.25">
      <c r="A36" s="46" t="s">
        <v>62</v>
      </c>
      <c r="B36" s="45" t="s">
        <v>77</v>
      </c>
      <c r="C36" s="44"/>
      <c r="D36" s="91">
        <v>25</v>
      </c>
      <c r="E36" s="82">
        <f t="shared" ref="E36:E43" si="3">D36/$D$44</f>
        <v>7.8125E-2</v>
      </c>
      <c r="F36" s="83">
        <f>Leistungsumfang!E24</f>
        <v>8</v>
      </c>
      <c r="G36" s="147">
        <f t="shared" si="2"/>
        <v>200</v>
      </c>
      <c r="H36" s="169"/>
      <c r="I36" s="371"/>
      <c r="J36" s="371"/>
      <c r="K36" s="371"/>
      <c r="L36" s="151"/>
    </row>
    <row r="37" spans="1:12" s="1" customFormat="1" ht="13.8" x14ac:dyDescent="0.25">
      <c r="A37" s="46" t="s">
        <v>63</v>
      </c>
      <c r="B37" s="45" t="s">
        <v>78</v>
      </c>
      <c r="C37" s="44"/>
      <c r="D37" s="91">
        <v>50</v>
      </c>
      <c r="E37" s="82">
        <f t="shared" si="3"/>
        <v>0.15625</v>
      </c>
      <c r="F37" s="83">
        <f>Leistungsumfang!E25</f>
        <v>8</v>
      </c>
      <c r="G37" s="147">
        <f t="shared" si="2"/>
        <v>400</v>
      </c>
      <c r="H37" s="169"/>
      <c r="I37" s="371"/>
      <c r="J37" s="371"/>
      <c r="K37" s="371"/>
      <c r="L37" s="151"/>
    </row>
    <row r="38" spans="1:12" s="1" customFormat="1" ht="13.8" x14ac:dyDescent="0.25">
      <c r="A38" s="46" t="s">
        <v>64</v>
      </c>
      <c r="B38" s="45" t="s">
        <v>79</v>
      </c>
      <c r="C38" s="44"/>
      <c r="D38" s="91">
        <v>30</v>
      </c>
      <c r="E38" s="82">
        <f t="shared" si="3"/>
        <v>9.375E-2</v>
      </c>
      <c r="F38" s="83">
        <f>Leistungsumfang!E26</f>
        <v>8</v>
      </c>
      <c r="G38" s="147">
        <f t="shared" si="2"/>
        <v>240</v>
      </c>
      <c r="H38" s="169"/>
      <c r="I38" s="371"/>
      <c r="J38" s="371"/>
      <c r="K38" s="371"/>
      <c r="L38" s="151"/>
    </row>
    <row r="39" spans="1:12" s="1" customFormat="1" ht="28.5" customHeight="1" x14ac:dyDescent="0.25">
      <c r="A39" s="46" t="s">
        <v>65</v>
      </c>
      <c r="B39" s="45" t="s">
        <v>80</v>
      </c>
      <c r="C39" s="44"/>
      <c r="D39" s="127">
        <v>30</v>
      </c>
      <c r="E39" s="128">
        <f t="shared" si="3"/>
        <v>9.375E-2</v>
      </c>
      <c r="F39" s="129">
        <f>Leistungsumfang!E27</f>
        <v>3</v>
      </c>
      <c r="G39" s="148">
        <f t="shared" si="2"/>
        <v>90</v>
      </c>
      <c r="H39" s="170"/>
      <c r="I39" s="371"/>
      <c r="J39" s="371"/>
      <c r="K39" s="371"/>
      <c r="L39" s="151"/>
    </row>
    <row r="40" spans="1:12" s="1" customFormat="1" ht="15" customHeight="1" x14ac:dyDescent="0.25">
      <c r="A40" s="46" t="s">
        <v>66</v>
      </c>
      <c r="B40" s="45" t="s">
        <v>81</v>
      </c>
      <c r="C40" s="44"/>
      <c r="D40" s="91">
        <v>30</v>
      </c>
      <c r="E40" s="82">
        <f t="shared" si="3"/>
        <v>9.375E-2</v>
      </c>
      <c r="F40" s="83">
        <f>Leistungsumfang!E28</f>
        <v>3</v>
      </c>
      <c r="G40" s="147">
        <f t="shared" si="2"/>
        <v>90</v>
      </c>
      <c r="H40" s="169"/>
      <c r="I40" s="371"/>
      <c r="J40" s="371"/>
      <c r="K40" s="371"/>
      <c r="L40" s="151"/>
    </row>
    <row r="41" spans="1:12" s="1" customFormat="1" ht="15" customHeight="1" x14ac:dyDescent="0.25">
      <c r="A41" s="46" t="s">
        <v>60</v>
      </c>
      <c r="B41" s="55" t="s">
        <v>82</v>
      </c>
      <c r="C41" s="44"/>
      <c r="D41" s="91">
        <v>30</v>
      </c>
      <c r="E41" s="82">
        <f t="shared" si="3"/>
        <v>9.375E-2</v>
      </c>
      <c r="F41" s="83">
        <f>Leistungsumfang!E29</f>
        <v>3</v>
      </c>
      <c r="G41" s="147">
        <f t="shared" si="2"/>
        <v>90</v>
      </c>
      <c r="H41" s="169"/>
      <c r="I41" s="371"/>
      <c r="J41" s="371"/>
      <c r="K41" s="371"/>
      <c r="L41" s="151"/>
    </row>
    <row r="42" spans="1:12" s="1" customFormat="1" ht="15" customHeight="1" x14ac:dyDescent="0.25">
      <c r="A42" s="46" t="s">
        <v>61</v>
      </c>
      <c r="B42" s="55" t="s">
        <v>83</v>
      </c>
      <c r="C42" s="44"/>
      <c r="D42" s="91">
        <v>20</v>
      </c>
      <c r="E42" s="82">
        <f t="shared" si="3"/>
        <v>6.25E-2</v>
      </c>
      <c r="F42" s="83">
        <f>Leistungsumfang!E30</f>
        <v>8</v>
      </c>
      <c r="G42" s="147">
        <f t="shared" si="2"/>
        <v>160</v>
      </c>
      <c r="H42" s="169"/>
      <c r="I42" s="371" t="str">
        <f>IF(OR(D44-J33&gt;1,D44-J33&lt;-1),"Abweichung beträgt:","")</f>
        <v>Abweichung beträgt:</v>
      </c>
      <c r="J42" s="371"/>
      <c r="K42" s="181"/>
      <c r="L42" s="151"/>
    </row>
    <row r="43" spans="1:12" s="1" customFormat="1" ht="15" customHeight="1" x14ac:dyDescent="0.25">
      <c r="A43" s="46" t="s">
        <v>70</v>
      </c>
      <c r="B43" s="55" t="s">
        <v>71</v>
      </c>
      <c r="C43" s="44"/>
      <c r="D43" s="91">
        <v>0</v>
      </c>
      <c r="E43" s="82">
        <f t="shared" si="3"/>
        <v>0</v>
      </c>
      <c r="F43" s="83">
        <f>Leistungsumfang!E31</f>
        <v>0</v>
      </c>
      <c r="G43" s="147">
        <f t="shared" si="2"/>
        <v>0</v>
      </c>
      <c r="H43" s="169"/>
      <c r="I43" s="371"/>
      <c r="J43" s="371"/>
      <c r="K43" s="242">
        <f>ABS(J33/D44-1)</f>
        <v>4.2269176136361386E-3</v>
      </c>
      <c r="L43" s="151"/>
    </row>
    <row r="44" spans="1:12" s="1" customFormat="1" ht="14.4" x14ac:dyDescent="0.25">
      <c r="A44" s="56"/>
      <c r="B44" s="57" t="s">
        <v>95</v>
      </c>
      <c r="C44" s="58"/>
      <c r="D44" s="251">
        <f>SUM(D34:D43)</f>
        <v>320</v>
      </c>
      <c r="E44" s="252">
        <f>SUM(E35:E43)</f>
        <v>1</v>
      </c>
      <c r="F44" s="59"/>
      <c r="H44" s="164"/>
      <c r="L44" s="151"/>
    </row>
    <row r="45" spans="1:12" s="1" customFormat="1" ht="6.75" customHeight="1" x14ac:dyDescent="0.25">
      <c r="A45" s="56"/>
      <c r="B45" s="57"/>
      <c r="C45" s="58"/>
      <c r="D45" s="59"/>
      <c r="E45" s="125"/>
      <c r="F45" s="59"/>
      <c r="H45" s="164"/>
      <c r="L45" s="151"/>
    </row>
    <row r="46" spans="1:12" s="1" customFormat="1" ht="14.4" x14ac:dyDescent="0.25">
      <c r="A46" s="56"/>
      <c r="B46" s="57" t="s">
        <v>173</v>
      </c>
      <c r="C46" s="58"/>
      <c r="D46" s="249">
        <f>D44*F33*Personaleinsatzplan!N20</f>
        <v>346531.5238081147</v>
      </c>
      <c r="E46" s="125"/>
      <c r="F46" s="59"/>
      <c r="H46" s="164"/>
      <c r="J46" s="160"/>
      <c r="K46" s="246">
        <f>SUM(Personaleinsatzplan!I11:S11,Personaleinsatzplan!I14:S14,Personaleinsatzplan!I17:S17)</f>
        <v>345066.76360645</v>
      </c>
      <c r="L46" s="151"/>
    </row>
    <row r="47" spans="1:12" s="1" customFormat="1" ht="14.4" thickBot="1" x14ac:dyDescent="0.3">
      <c r="A47" s="44"/>
      <c r="B47" s="44"/>
      <c r="C47" s="44"/>
      <c r="D47" s="44"/>
      <c r="E47" s="44"/>
      <c r="F47" s="44"/>
      <c r="H47" s="164"/>
      <c r="L47" s="151"/>
    </row>
    <row r="48" spans="1:12" ht="16.2" thickBot="1" x14ac:dyDescent="0.35">
      <c r="A48" s="50" t="s">
        <v>85</v>
      </c>
      <c r="B48" s="75"/>
      <c r="C48" s="40"/>
      <c r="D48" s="146" t="s">
        <v>165</v>
      </c>
      <c r="E48" s="96"/>
      <c r="F48" s="243">
        <f>Leistungsumfang!F33</f>
        <v>2</v>
      </c>
      <c r="G48" s="121"/>
      <c r="H48" s="168"/>
      <c r="I48" s="176" t="s">
        <v>169</v>
      </c>
      <c r="J48" s="244">
        <f>Personaleinsatzplan!T21</f>
        <v>251.86499999999995</v>
      </c>
      <c r="K48" s="177" t="s">
        <v>128</v>
      </c>
    </row>
    <row r="49" spans="1:12" s="1" customFormat="1" ht="8.25" customHeight="1" x14ac:dyDescent="0.25">
      <c r="A49" s="44"/>
      <c r="B49" s="44"/>
      <c r="C49" s="44"/>
      <c r="D49" s="44"/>
      <c r="E49" s="44"/>
      <c r="F49" s="44"/>
      <c r="H49" s="164"/>
      <c r="L49" s="151"/>
    </row>
    <row r="50" spans="1:12" s="1" customFormat="1" ht="13.8" x14ac:dyDescent="0.25">
      <c r="A50" s="46" t="s">
        <v>59</v>
      </c>
      <c r="B50" s="45" t="s">
        <v>76</v>
      </c>
      <c r="C50" s="44"/>
      <c r="D50" s="91">
        <v>0</v>
      </c>
      <c r="E50" s="82">
        <f t="shared" ref="E50:E58" si="4">D50/$D$59</f>
        <v>0</v>
      </c>
      <c r="F50" s="83">
        <f>Leistungsumfang!E35</f>
        <v>0</v>
      </c>
      <c r="G50" s="147">
        <f t="shared" ref="G50:G58" si="5">D50*F50</f>
        <v>0</v>
      </c>
      <c r="H50" s="169"/>
      <c r="I50" s="371" t="str">
        <f>IF(OR(D59-J48&gt;1,D59-J48&lt;-1),"Mittlere Stunden aus PEP weichen von den Stunden aus der Summe über die Teilleistungen ab!","")</f>
        <v>Mittlere Stunden aus PEP weichen von den Stunden aus der Summe über die Teilleistungen ab!</v>
      </c>
      <c r="J50" s="371"/>
      <c r="K50" s="371"/>
      <c r="L50" s="151"/>
    </row>
    <row r="51" spans="1:12" s="1" customFormat="1" ht="13.8" x14ac:dyDescent="0.25">
      <c r="A51" s="46" t="s">
        <v>62</v>
      </c>
      <c r="B51" s="45" t="s">
        <v>77</v>
      </c>
      <c r="C51" s="44"/>
      <c r="D51" s="91">
        <v>0</v>
      </c>
      <c r="E51" s="82">
        <f t="shared" si="4"/>
        <v>0</v>
      </c>
      <c r="F51" s="83">
        <f>Leistungsumfang!E36</f>
        <v>0</v>
      </c>
      <c r="G51" s="147">
        <f t="shared" si="5"/>
        <v>0</v>
      </c>
      <c r="H51" s="169"/>
      <c r="I51" s="371"/>
      <c r="J51" s="371"/>
      <c r="K51" s="371"/>
      <c r="L51" s="151"/>
    </row>
    <row r="52" spans="1:12" s="1" customFormat="1" ht="13.8" x14ac:dyDescent="0.25">
      <c r="A52" s="46" t="s">
        <v>63</v>
      </c>
      <c r="B52" s="45" t="s">
        <v>78</v>
      </c>
      <c r="C52" s="44"/>
      <c r="D52" s="91">
        <v>0</v>
      </c>
      <c r="E52" s="82">
        <f t="shared" si="4"/>
        <v>0</v>
      </c>
      <c r="F52" s="83">
        <f>Leistungsumfang!E37</f>
        <v>0</v>
      </c>
      <c r="G52" s="147">
        <f t="shared" si="5"/>
        <v>0</v>
      </c>
      <c r="H52" s="169"/>
      <c r="I52" s="371"/>
      <c r="J52" s="371"/>
      <c r="K52" s="371"/>
      <c r="L52" s="151"/>
    </row>
    <row r="53" spans="1:12" s="1" customFormat="1" ht="13.8" x14ac:dyDescent="0.25">
      <c r="A53" s="46" t="s">
        <v>64</v>
      </c>
      <c r="B53" s="45" t="s">
        <v>79</v>
      </c>
      <c r="C53" s="44"/>
      <c r="D53" s="91">
        <v>0</v>
      </c>
      <c r="E53" s="82">
        <f t="shared" si="4"/>
        <v>0</v>
      </c>
      <c r="F53" s="83">
        <f>Leistungsumfang!E38</f>
        <v>0</v>
      </c>
      <c r="G53" s="147">
        <f t="shared" si="5"/>
        <v>0</v>
      </c>
      <c r="H53" s="169"/>
      <c r="I53" s="371"/>
      <c r="J53" s="371"/>
      <c r="K53" s="371"/>
      <c r="L53" s="151"/>
    </row>
    <row r="54" spans="1:12" s="1" customFormat="1" ht="27.6" x14ac:dyDescent="0.25">
      <c r="A54" s="46" t="s">
        <v>65</v>
      </c>
      <c r="B54" s="45" t="s">
        <v>80</v>
      </c>
      <c r="C54" s="44"/>
      <c r="D54" s="91">
        <v>0</v>
      </c>
      <c r="E54" s="82">
        <f t="shared" si="4"/>
        <v>0</v>
      </c>
      <c r="F54" s="83">
        <f>Leistungsumfang!E39</f>
        <v>0</v>
      </c>
      <c r="G54" s="147">
        <f t="shared" si="5"/>
        <v>0</v>
      </c>
      <c r="H54" s="169"/>
      <c r="I54" s="371"/>
      <c r="J54" s="371"/>
      <c r="K54" s="371"/>
      <c r="L54" s="151"/>
    </row>
    <row r="55" spans="1:12" s="1" customFormat="1" ht="13.8" x14ac:dyDescent="0.25">
      <c r="A55" s="46" t="s">
        <v>66</v>
      </c>
      <c r="B55" s="45" t="s">
        <v>81</v>
      </c>
      <c r="C55" s="44"/>
      <c r="D55" s="91">
        <v>110</v>
      </c>
      <c r="E55" s="82">
        <f t="shared" si="4"/>
        <v>0.44</v>
      </c>
      <c r="F55" s="83">
        <f>Leistungsumfang!E40</f>
        <v>1.5</v>
      </c>
      <c r="G55" s="147">
        <f t="shared" si="5"/>
        <v>165</v>
      </c>
      <c r="H55" s="169"/>
      <c r="I55" s="371"/>
      <c r="J55" s="371"/>
      <c r="K55" s="371"/>
      <c r="L55" s="151"/>
    </row>
    <row r="56" spans="1:12" s="1" customFormat="1" ht="13.8" x14ac:dyDescent="0.25">
      <c r="A56" s="46" t="s">
        <v>60</v>
      </c>
      <c r="B56" s="55" t="s">
        <v>82</v>
      </c>
      <c r="C56" s="44"/>
      <c r="D56" s="91">
        <v>80</v>
      </c>
      <c r="E56" s="82">
        <f t="shared" si="4"/>
        <v>0.32</v>
      </c>
      <c r="F56" s="83">
        <f>Leistungsumfang!E41</f>
        <v>1.5</v>
      </c>
      <c r="G56" s="147">
        <f t="shared" si="5"/>
        <v>120</v>
      </c>
      <c r="H56" s="169"/>
      <c r="I56" s="371"/>
      <c r="J56" s="371"/>
      <c r="K56" s="371"/>
      <c r="L56" s="151"/>
    </row>
    <row r="57" spans="1:12" s="1" customFormat="1" ht="13.8" x14ac:dyDescent="0.25">
      <c r="A57" s="46" t="s">
        <v>61</v>
      </c>
      <c r="B57" s="55" t="s">
        <v>83</v>
      </c>
      <c r="C57" s="44"/>
      <c r="D57" s="91">
        <v>60</v>
      </c>
      <c r="E57" s="82">
        <f t="shared" si="4"/>
        <v>0.24</v>
      </c>
      <c r="F57" s="83">
        <f>Leistungsumfang!E42</f>
        <v>1.5</v>
      </c>
      <c r="G57" s="147">
        <f t="shared" si="5"/>
        <v>90</v>
      </c>
      <c r="H57" s="169"/>
      <c r="I57" s="371" t="str">
        <f>IF(OR(D59-J48&gt;1,D59-J48&lt;-1),"Abweichung beträgt:","")</f>
        <v>Abweichung beträgt:</v>
      </c>
      <c r="J57" s="371"/>
      <c r="K57" s="181"/>
      <c r="L57" s="151"/>
    </row>
    <row r="58" spans="1:12" s="1" customFormat="1" ht="13.8" x14ac:dyDescent="0.25">
      <c r="A58" s="46" t="s">
        <v>70</v>
      </c>
      <c r="B58" s="55" t="s">
        <v>71</v>
      </c>
      <c r="C58" s="44"/>
      <c r="D58" s="91">
        <v>0</v>
      </c>
      <c r="E58" s="82">
        <f t="shared" si="4"/>
        <v>0</v>
      </c>
      <c r="F58" s="83">
        <f>Leistungsumfang!E43</f>
        <v>0</v>
      </c>
      <c r="G58" s="147">
        <f t="shared" si="5"/>
        <v>0</v>
      </c>
      <c r="H58" s="169"/>
      <c r="I58" s="371"/>
      <c r="J58" s="371"/>
      <c r="K58" s="242">
        <f>ABS(J48/D59-1)</f>
        <v>7.4599999999998001E-3</v>
      </c>
      <c r="L58" s="151"/>
    </row>
    <row r="59" spans="1:12" s="69" customFormat="1" ht="14.4" x14ac:dyDescent="0.25">
      <c r="A59" s="81"/>
      <c r="B59" s="57" t="s">
        <v>95</v>
      </c>
      <c r="C59" s="58"/>
      <c r="D59" s="251">
        <f>SUM(D49:D58)</f>
        <v>250</v>
      </c>
      <c r="E59" s="252">
        <f>SUM(E50:E58)</f>
        <v>1</v>
      </c>
      <c r="F59" s="59"/>
      <c r="H59" s="60"/>
      <c r="L59" s="152"/>
    </row>
    <row r="60" spans="1:12" s="69" customFormat="1" ht="7.5" customHeight="1" x14ac:dyDescent="0.25">
      <c r="A60" s="81"/>
      <c r="B60" s="57"/>
      <c r="C60" s="58"/>
      <c r="D60" s="59"/>
      <c r="E60" s="125"/>
      <c r="F60" s="59"/>
      <c r="H60" s="60"/>
      <c r="L60" s="152"/>
    </row>
    <row r="61" spans="1:12" s="69" customFormat="1" ht="14.4" x14ac:dyDescent="0.25">
      <c r="A61" s="81"/>
      <c r="B61" s="57" t="s">
        <v>174</v>
      </c>
      <c r="C61" s="58"/>
      <c r="D61" s="249">
        <f>D59*F48*Personaleinsatzplan!T20</f>
        <v>48900.153890000001</v>
      </c>
      <c r="E61" s="125"/>
      <c r="F61" s="59"/>
      <c r="H61" s="60"/>
      <c r="J61" s="160"/>
      <c r="K61" s="246">
        <f>SUM(Personaleinsatzplan!T11:U11,Personaleinsatzplan!T14:U14,Personaleinsatzplan!T17:U17)</f>
        <v>49264.949038019389</v>
      </c>
      <c r="L61" s="152"/>
    </row>
    <row r="62" spans="1:12" s="69" customFormat="1" ht="6" customHeight="1" x14ac:dyDescent="0.25">
      <c r="A62" s="58"/>
      <c r="B62" s="58"/>
      <c r="C62" s="58"/>
      <c r="D62" s="58"/>
      <c r="E62" s="58"/>
      <c r="F62" s="58"/>
      <c r="H62" s="60"/>
      <c r="L62" s="152"/>
    </row>
    <row r="63" spans="1:12" s="69" customFormat="1" ht="15.75" customHeight="1" x14ac:dyDescent="0.25">
      <c r="A63" s="58"/>
      <c r="B63" s="58" t="s">
        <v>212</v>
      </c>
      <c r="C63" s="58"/>
      <c r="D63" s="250">
        <f>D31+D46+D61</f>
        <v>438727.4212705947</v>
      </c>
      <c r="E63" s="58"/>
      <c r="F63" s="58"/>
      <c r="H63" s="60"/>
      <c r="J63" s="161"/>
      <c r="K63" s="245">
        <f>SUM(K31,K46,K61)</f>
        <v>437604.26206860697</v>
      </c>
    </row>
    <row r="64" spans="1:12" s="69" customFormat="1" ht="15.75" customHeight="1" x14ac:dyDescent="0.25">
      <c r="A64" s="58"/>
      <c r="B64" s="58"/>
      <c r="C64" s="58"/>
      <c r="D64" s="153"/>
      <c r="E64" s="58"/>
      <c r="F64" s="58"/>
      <c r="H64" s="60"/>
    </row>
    <row r="65" spans="1:11" s="69" customFormat="1" ht="15.75" customHeight="1" x14ac:dyDescent="0.25">
      <c r="A65" s="58"/>
      <c r="B65" s="256" t="s">
        <v>209</v>
      </c>
      <c r="C65" s="256"/>
      <c r="D65" s="257"/>
      <c r="E65" s="256"/>
      <c r="F65" s="256"/>
      <c r="G65" s="256"/>
      <c r="H65" s="256"/>
      <c r="I65" s="256"/>
      <c r="J65" s="256"/>
      <c r="K65" s="248">
        <f>D63</f>
        <v>438727.4212705947</v>
      </c>
    </row>
    <row r="66" spans="1:11" s="69" customFormat="1" ht="15.75" customHeight="1" x14ac:dyDescent="0.25">
      <c r="A66" s="58"/>
      <c r="B66" s="258" t="s">
        <v>210</v>
      </c>
      <c r="C66" s="258"/>
      <c r="D66" s="259"/>
      <c r="E66" s="258"/>
      <c r="F66" s="258"/>
      <c r="G66" s="258"/>
      <c r="H66" s="258"/>
      <c r="I66" s="258"/>
      <c r="J66" s="258"/>
      <c r="K66" s="248">
        <f>K63</f>
        <v>437604.26206860697</v>
      </c>
    </row>
    <row r="67" spans="1:11" s="69" customFormat="1" ht="15.75" customHeight="1" x14ac:dyDescent="0.25">
      <c r="A67" s="58"/>
      <c r="B67" s="260" t="s">
        <v>172</v>
      </c>
      <c r="C67" s="260"/>
      <c r="D67" s="261"/>
      <c r="E67" s="260"/>
      <c r="F67" s="260"/>
      <c r="G67" s="260"/>
      <c r="H67" s="260"/>
      <c r="I67" s="260"/>
      <c r="J67" s="262" t="s">
        <v>177</v>
      </c>
      <c r="K67" s="247">
        <f>ABS(K66-K65)</f>
        <v>1123.159201987728</v>
      </c>
    </row>
    <row r="68" spans="1:11" s="69" customFormat="1" ht="15.75" customHeight="1" x14ac:dyDescent="0.25">
      <c r="A68" s="58"/>
      <c r="B68" s="154"/>
      <c r="C68" s="154"/>
      <c r="D68" s="155"/>
      <c r="E68" s="156"/>
      <c r="F68" s="154"/>
      <c r="G68" s="156"/>
      <c r="H68" s="171"/>
      <c r="I68" s="156"/>
      <c r="K68" s="157"/>
    </row>
    <row r="69" spans="1:11" s="69" customFormat="1" ht="15.75" customHeight="1" x14ac:dyDescent="0.25">
      <c r="A69" s="58"/>
      <c r="B69" s="58"/>
      <c r="C69" s="58"/>
      <c r="D69" s="58"/>
      <c r="E69" s="58"/>
      <c r="F69" s="58"/>
      <c r="H69" s="60"/>
    </row>
  </sheetData>
  <mergeCells count="18">
    <mergeCell ref="I42:J43"/>
    <mergeCell ref="I20:K26"/>
    <mergeCell ref="I27:J28"/>
    <mergeCell ref="I50:K56"/>
    <mergeCell ref="I57:J58"/>
    <mergeCell ref="I35:K41"/>
    <mergeCell ref="D11:E11"/>
    <mergeCell ref="A13:A16"/>
    <mergeCell ref="B13:B16"/>
    <mergeCell ref="I16:K16"/>
    <mergeCell ref="D13:G13"/>
    <mergeCell ref="I14:K15"/>
    <mergeCell ref="D10:E10"/>
    <mergeCell ref="D3:K3"/>
    <mergeCell ref="D4:K4"/>
    <mergeCell ref="D7:E7"/>
    <mergeCell ref="D8:E8"/>
    <mergeCell ref="D9:E9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91" fitToHeight="0" orientation="portrait" horizontalDpi="300" r:id="rId1"/>
  <headerFooter alignWithMargins="0">
    <oddFooter>&amp;L&amp;8Leitfaden Kostenabschätzung der ÖBA Leistung /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showGridLines="0" zoomScaleNormal="100" workbookViewId="0">
      <selection activeCell="D3" sqref="D3:P4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1" customFormat="1" ht="17.399999999999999" x14ac:dyDescent="0.3">
      <c r="A1" s="65" t="s">
        <v>191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5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72" t="str">
        <f>IF(Leistungsumfang!D3:I3="","",Leistungsumfang!D3:I3)</f>
        <v>Bürogebäude 3-stöckig, Salzburg</v>
      </c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4"/>
    </row>
    <row r="4" spans="1:17" s="33" customFormat="1" ht="15.6" x14ac:dyDescent="0.3">
      <c r="A4" s="32" t="s">
        <v>54</v>
      </c>
      <c r="B4" s="32"/>
      <c r="C4" s="32"/>
      <c r="D4" s="375" t="str">
        <f>IF(Leistungsumfang!D4:I4="","",Leistungsumfang!D4:I4)</f>
        <v>AG 02</v>
      </c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7"/>
    </row>
    <row r="7" spans="1:17" s="5" customFormat="1" ht="21.75" customHeight="1" x14ac:dyDescent="0.25">
      <c r="A7" s="203" t="s">
        <v>178</v>
      </c>
      <c r="B7" s="382" t="s">
        <v>179</v>
      </c>
      <c r="C7" s="382"/>
      <c r="D7" s="204" t="s">
        <v>183</v>
      </c>
      <c r="E7" s="204"/>
      <c r="F7" s="205"/>
      <c r="G7" s="69"/>
      <c r="H7" s="384" t="s">
        <v>190</v>
      </c>
      <c r="I7" s="385"/>
      <c r="J7" s="385"/>
      <c r="K7" s="385"/>
      <c r="L7" s="385"/>
      <c r="M7" s="385"/>
      <c r="N7" s="386"/>
      <c r="O7" s="69"/>
      <c r="P7" s="206"/>
      <c r="Q7" s="69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80"/>
      <c r="I8" s="183"/>
      <c r="J8" s="180"/>
      <c r="K8" s="183"/>
      <c r="L8" s="180"/>
      <c r="M8" s="1"/>
      <c r="N8" s="1"/>
      <c r="O8" s="1"/>
      <c r="P8" s="195"/>
      <c r="Q8" s="1"/>
    </row>
    <row r="9" spans="1:17" ht="16.5" customHeight="1" x14ac:dyDescent="0.3">
      <c r="A9" s="388" t="s">
        <v>180</v>
      </c>
      <c r="B9" s="378" t="s">
        <v>194</v>
      </c>
      <c r="C9" s="378"/>
      <c r="D9" s="378"/>
      <c r="E9" s="378"/>
      <c r="F9" s="379"/>
      <c r="G9" s="1"/>
      <c r="H9" s="207" t="s">
        <v>184</v>
      </c>
      <c r="I9" s="383" t="s">
        <v>185</v>
      </c>
      <c r="J9" s="207" t="s">
        <v>128</v>
      </c>
      <c r="K9" s="383" t="s">
        <v>186</v>
      </c>
      <c r="L9" s="207" t="s">
        <v>187</v>
      </c>
      <c r="M9" s="383" t="s">
        <v>185</v>
      </c>
      <c r="N9" s="207" t="s">
        <v>127</v>
      </c>
      <c r="O9" s="387" t="s">
        <v>186</v>
      </c>
      <c r="P9" s="390">
        <f>L10*N10</f>
        <v>43272.5494241376</v>
      </c>
      <c r="Q9" s="1"/>
    </row>
    <row r="10" spans="1:17" ht="13.8" x14ac:dyDescent="0.25">
      <c r="A10" s="389"/>
      <c r="B10" s="380"/>
      <c r="C10" s="380"/>
      <c r="D10" s="380"/>
      <c r="E10" s="380"/>
      <c r="F10" s="381"/>
      <c r="G10" s="1"/>
      <c r="H10" s="269">
        <f>Personaleinsatzplan!G20</f>
        <v>98.17628928000002</v>
      </c>
      <c r="I10" s="383"/>
      <c r="J10" s="270">
        <f>Personaleinsatzplan!G21</f>
        <v>146.92124999999996</v>
      </c>
      <c r="K10" s="383"/>
      <c r="L10" s="192">
        <f>H10*J10</f>
        <v>14424.183141379199</v>
      </c>
      <c r="M10" s="383"/>
      <c r="N10" s="271">
        <f>Leistungsumfang!F9</f>
        <v>3</v>
      </c>
      <c r="O10" s="387"/>
      <c r="P10" s="391"/>
      <c r="Q10" s="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93"/>
      <c r="N11" s="193"/>
      <c r="O11" s="193"/>
      <c r="P11" s="195"/>
      <c r="Q11" s="1"/>
    </row>
    <row r="12" spans="1:17" ht="17.25" customHeight="1" x14ac:dyDescent="0.3">
      <c r="A12" s="388" t="s">
        <v>181</v>
      </c>
      <c r="B12" s="378" t="s">
        <v>192</v>
      </c>
      <c r="C12" s="378"/>
      <c r="D12" s="378"/>
      <c r="E12" s="378"/>
      <c r="F12" s="379"/>
      <c r="G12" s="1"/>
      <c r="H12" s="207" t="s">
        <v>184</v>
      </c>
      <c r="I12" s="383" t="s">
        <v>185</v>
      </c>
      <c r="J12" s="207" t="s">
        <v>128</v>
      </c>
      <c r="K12" s="383" t="s">
        <v>186</v>
      </c>
      <c r="L12" s="207" t="s">
        <v>187</v>
      </c>
      <c r="M12" s="383" t="s">
        <v>185</v>
      </c>
      <c r="N12" s="207" t="s">
        <v>127</v>
      </c>
      <c r="O12" s="387" t="s">
        <v>186</v>
      </c>
      <c r="P12" s="390">
        <f>L13*N13</f>
        <v>345066.76360645</v>
      </c>
      <c r="Q12" s="1"/>
    </row>
    <row r="13" spans="1:17" ht="13.8" x14ac:dyDescent="0.25">
      <c r="A13" s="389"/>
      <c r="B13" s="380"/>
      <c r="C13" s="380"/>
      <c r="D13" s="380"/>
      <c r="E13" s="380"/>
      <c r="F13" s="381"/>
      <c r="G13" s="1"/>
      <c r="H13" s="269">
        <f>Personaleinsatzplan!N20</f>
        <v>98.446455627305312</v>
      </c>
      <c r="I13" s="383"/>
      <c r="J13" s="270">
        <f>Personaleinsatzplan!N21</f>
        <v>318.64738636363643</v>
      </c>
      <c r="K13" s="383"/>
      <c r="L13" s="192">
        <f>H13*J13</f>
        <v>31369.705782404544</v>
      </c>
      <c r="M13" s="383"/>
      <c r="N13" s="271">
        <f>Leistungsumfang!F21</f>
        <v>11</v>
      </c>
      <c r="O13" s="387"/>
      <c r="P13" s="391"/>
      <c r="Q13" s="1"/>
    </row>
    <row r="14" spans="1:17" ht="6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93"/>
      <c r="N14" s="193"/>
      <c r="O14" s="193"/>
      <c r="P14" s="195"/>
      <c r="Q14" s="1"/>
    </row>
    <row r="15" spans="1:17" ht="15.75" customHeight="1" x14ac:dyDescent="0.3">
      <c r="A15" s="388" t="s">
        <v>182</v>
      </c>
      <c r="B15" s="378" t="s">
        <v>193</v>
      </c>
      <c r="C15" s="378"/>
      <c r="D15" s="378"/>
      <c r="E15" s="378"/>
      <c r="F15" s="379"/>
      <c r="G15" s="1"/>
      <c r="H15" s="207" t="s">
        <v>184</v>
      </c>
      <c r="I15" s="383" t="s">
        <v>185</v>
      </c>
      <c r="J15" s="207" t="s">
        <v>128</v>
      </c>
      <c r="K15" s="383" t="s">
        <v>186</v>
      </c>
      <c r="L15" s="207" t="s">
        <v>187</v>
      </c>
      <c r="M15" s="383" t="s">
        <v>185</v>
      </c>
      <c r="N15" s="207" t="s">
        <v>127</v>
      </c>
      <c r="O15" s="387" t="s">
        <v>186</v>
      </c>
      <c r="P15" s="390">
        <f>L16*N16</f>
        <v>49264.949038019389</v>
      </c>
      <c r="Q15" s="1"/>
    </row>
    <row r="16" spans="1:17" ht="13.8" x14ac:dyDescent="0.25">
      <c r="A16" s="389"/>
      <c r="B16" s="380"/>
      <c r="C16" s="380"/>
      <c r="D16" s="380"/>
      <c r="E16" s="380"/>
      <c r="F16" s="381"/>
      <c r="G16" s="1"/>
      <c r="H16" s="269">
        <f>Personaleinsatzplan!T20</f>
        <v>97.800307779999997</v>
      </c>
      <c r="I16" s="383"/>
      <c r="J16" s="270">
        <f>Personaleinsatzplan!T21</f>
        <v>251.86499999999995</v>
      </c>
      <c r="K16" s="383"/>
      <c r="L16" s="192">
        <f>H16*J16</f>
        <v>24632.474519009695</v>
      </c>
      <c r="M16" s="383"/>
      <c r="N16" s="271">
        <f>Leistungsumfang!F33</f>
        <v>2</v>
      </c>
      <c r="O16" s="387"/>
      <c r="P16" s="391"/>
      <c r="Q16" s="1"/>
    </row>
    <row r="17" spans="1:17" ht="13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95"/>
      <c r="Q17" s="1"/>
    </row>
    <row r="18" spans="1:17" s="111" customFormat="1" ht="21" customHeight="1" x14ac:dyDescent="0.3">
      <c r="A18" s="198" t="s">
        <v>95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200"/>
      <c r="N18" s="212"/>
      <c r="O18" s="210"/>
      <c r="P18" s="208">
        <f>SUM(P7:P15)</f>
        <v>437604.26206860703</v>
      </c>
      <c r="Q18" s="97"/>
    </row>
    <row r="19" spans="1:17" ht="9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11"/>
      <c r="P19" s="1"/>
      <c r="Q19" s="1"/>
    </row>
    <row r="20" spans="1:17" ht="13.5" customHeight="1" x14ac:dyDescent="0.25">
      <c r="A20" s="197" t="s">
        <v>152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211"/>
      <c r="P20" s="201"/>
      <c r="Q20" s="1"/>
    </row>
    <row r="21" spans="1:17" ht="9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11"/>
      <c r="P21" s="1"/>
      <c r="Q21" s="1"/>
    </row>
    <row r="22" spans="1:17" ht="13.8" x14ac:dyDescent="0.25">
      <c r="A22" s="263" t="s">
        <v>73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5"/>
      <c r="O22" s="211"/>
      <c r="P22" s="266">
        <f>P18*(1+P20)</f>
        <v>437604.26206860703</v>
      </c>
      <c r="Q22" s="1"/>
    </row>
    <row r="23" spans="1:17" ht="8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11"/>
      <c r="P23" s="1"/>
      <c r="Q23" s="1"/>
    </row>
    <row r="24" spans="1:17" ht="13.8" x14ac:dyDescent="0.25">
      <c r="A24" s="197" t="s">
        <v>154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  <c r="O24" s="211"/>
      <c r="P24" s="209">
        <f>P22*0.2</f>
        <v>87520.852413721412</v>
      </c>
      <c r="Q24" s="1"/>
    </row>
    <row r="25" spans="1:17" ht="8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11"/>
      <c r="P25" s="1"/>
    </row>
    <row r="26" spans="1:17" ht="13.8" x14ac:dyDescent="0.25">
      <c r="A26" s="263" t="s">
        <v>67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8"/>
      <c r="O26" s="211"/>
      <c r="P26" s="266">
        <f>P22+P24</f>
        <v>525125.11448232841</v>
      </c>
    </row>
    <row r="27" spans="1:17" ht="13.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96"/>
    </row>
    <row r="28" spans="1:17" x14ac:dyDescent="0.25">
      <c r="A28" s="39" t="s">
        <v>195</v>
      </c>
    </row>
  </sheetData>
  <mergeCells count="25">
    <mergeCell ref="A9:A10"/>
    <mergeCell ref="A12:A13"/>
    <mergeCell ref="A15:A16"/>
    <mergeCell ref="P9:P10"/>
    <mergeCell ref="P12:P13"/>
    <mergeCell ref="P15:P16"/>
    <mergeCell ref="O9:O10"/>
    <mergeCell ref="M9:M10"/>
    <mergeCell ref="M12:M13"/>
    <mergeCell ref="M15:M16"/>
    <mergeCell ref="K12:K13"/>
    <mergeCell ref="I15:I16"/>
    <mergeCell ref="K15:K16"/>
    <mergeCell ref="D3:P3"/>
    <mergeCell ref="D4:P4"/>
    <mergeCell ref="B12:F13"/>
    <mergeCell ref="B15:F16"/>
    <mergeCell ref="B7:C7"/>
    <mergeCell ref="I9:I10"/>
    <mergeCell ref="K9:K10"/>
    <mergeCell ref="H7:N7"/>
    <mergeCell ref="B9:F10"/>
    <mergeCell ref="O12:O13"/>
    <mergeCell ref="O15:O16"/>
    <mergeCell ref="I12:I13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1"/>
  <sheetViews>
    <sheetView showGridLines="0" workbookViewId="0">
      <selection activeCell="R11" sqref="R11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4.44140625" bestFit="1" customWidth="1"/>
  </cols>
  <sheetData>
    <row r="1" spans="1:17" s="41" customFormat="1" ht="17.399999999999999" x14ac:dyDescent="0.3">
      <c r="A1" s="65" t="s">
        <v>196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5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72" t="str">
        <f>IF(Leistungsumfang!D3:I3="","",Leistungsumfang!D3:I3)</f>
        <v>Bürogebäude 3-stöckig, Salzburg</v>
      </c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4"/>
    </row>
    <row r="4" spans="1:17" s="33" customFormat="1" ht="15.6" x14ac:dyDescent="0.3">
      <c r="A4" s="32" t="s">
        <v>54</v>
      </c>
      <c r="B4" s="32"/>
      <c r="C4" s="32"/>
      <c r="D4" s="375" t="str">
        <f>IF(Leistungsumfang!D4:I4="","",Leistungsumfang!D4:I4)</f>
        <v>AG 02</v>
      </c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7"/>
    </row>
    <row r="7" spans="1:17" s="5" customFormat="1" ht="21.75" customHeight="1" x14ac:dyDescent="0.25">
      <c r="A7" s="203" t="s">
        <v>178</v>
      </c>
      <c r="B7" s="382" t="s">
        <v>179</v>
      </c>
      <c r="C7" s="382"/>
      <c r="D7" s="204" t="s">
        <v>183</v>
      </c>
      <c r="E7" s="204"/>
      <c r="F7" s="205"/>
      <c r="G7" s="69"/>
      <c r="H7" s="384" t="s">
        <v>190</v>
      </c>
      <c r="I7" s="385"/>
      <c r="J7" s="385"/>
      <c r="K7" s="385"/>
      <c r="L7" s="385"/>
      <c r="M7" s="385"/>
      <c r="N7" s="386"/>
      <c r="O7" s="69"/>
      <c r="P7" s="223" t="s">
        <v>2</v>
      </c>
      <c r="Q7" s="69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80"/>
      <c r="I8" s="183"/>
      <c r="J8" s="180"/>
      <c r="K8" s="183"/>
      <c r="L8" s="180"/>
      <c r="M8" s="1"/>
      <c r="N8" s="1"/>
      <c r="O8" s="1"/>
      <c r="P8" s="222"/>
      <c r="Q8" s="1"/>
    </row>
    <row r="9" spans="1:17" ht="16.5" customHeight="1" x14ac:dyDescent="0.3">
      <c r="A9" s="388" t="s">
        <v>180</v>
      </c>
      <c r="B9" s="378" t="s">
        <v>194</v>
      </c>
      <c r="C9" s="378"/>
      <c r="D9" s="378"/>
      <c r="E9" s="378"/>
      <c r="F9" s="379"/>
      <c r="G9" s="1"/>
      <c r="H9" s="207" t="s">
        <v>184</v>
      </c>
      <c r="I9" s="383" t="s">
        <v>185</v>
      </c>
      <c r="J9" s="207" t="s">
        <v>128</v>
      </c>
      <c r="K9" s="383" t="s">
        <v>186</v>
      </c>
      <c r="L9" s="207" t="s">
        <v>187</v>
      </c>
      <c r="M9" s="383" t="s">
        <v>185</v>
      </c>
      <c r="N9" s="207" t="s">
        <v>127</v>
      </c>
      <c r="O9" s="387" t="s">
        <v>186</v>
      </c>
      <c r="P9" s="390" t="s">
        <v>2</v>
      </c>
      <c r="Q9" s="1"/>
    </row>
    <row r="10" spans="1:17" ht="13.8" x14ac:dyDescent="0.25">
      <c r="A10" s="389"/>
      <c r="B10" s="380"/>
      <c r="C10" s="380"/>
      <c r="D10" s="380"/>
      <c r="E10" s="380"/>
      <c r="F10" s="381"/>
      <c r="G10" s="1"/>
      <c r="H10" s="182"/>
      <c r="I10" s="383"/>
      <c r="J10" s="194"/>
      <c r="K10" s="383"/>
      <c r="L10" s="192"/>
      <c r="M10" s="383"/>
      <c r="N10" s="202"/>
      <c r="O10" s="387"/>
      <c r="P10" s="391"/>
      <c r="Q10" s="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93"/>
      <c r="N11" s="193"/>
      <c r="O11" s="193"/>
      <c r="P11" s="195"/>
      <c r="Q11" s="1"/>
    </row>
    <row r="12" spans="1:17" ht="17.25" customHeight="1" x14ac:dyDescent="0.3">
      <c r="A12" s="388" t="s">
        <v>181</v>
      </c>
      <c r="B12" s="378" t="s">
        <v>192</v>
      </c>
      <c r="C12" s="378"/>
      <c r="D12" s="378"/>
      <c r="E12" s="378"/>
      <c r="F12" s="379"/>
      <c r="G12" s="1"/>
      <c r="H12" s="207" t="s">
        <v>184</v>
      </c>
      <c r="I12" s="383" t="s">
        <v>185</v>
      </c>
      <c r="J12" s="207" t="s">
        <v>128</v>
      </c>
      <c r="K12" s="383" t="s">
        <v>186</v>
      </c>
      <c r="L12" s="207" t="s">
        <v>187</v>
      </c>
      <c r="M12" s="383" t="s">
        <v>185</v>
      </c>
      <c r="N12" s="207" t="s">
        <v>127</v>
      </c>
      <c r="O12" s="387" t="s">
        <v>186</v>
      </c>
      <c r="P12" s="390" t="s">
        <v>2</v>
      </c>
      <c r="Q12" s="1"/>
    </row>
    <row r="13" spans="1:17" ht="13.8" x14ac:dyDescent="0.25">
      <c r="A13" s="389"/>
      <c r="B13" s="380"/>
      <c r="C13" s="380"/>
      <c r="D13" s="380"/>
      <c r="E13" s="380"/>
      <c r="F13" s="381"/>
      <c r="G13" s="1"/>
      <c r="H13" s="182"/>
      <c r="I13" s="383"/>
      <c r="J13" s="194"/>
      <c r="K13" s="383"/>
      <c r="L13" s="192"/>
      <c r="M13" s="383"/>
      <c r="N13" s="202"/>
      <c r="O13" s="387"/>
      <c r="P13" s="391"/>
      <c r="Q13" s="1"/>
    </row>
    <row r="14" spans="1:17" ht="6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93"/>
      <c r="N14" s="193"/>
      <c r="O14" s="193"/>
      <c r="P14" s="195"/>
      <c r="Q14" s="1"/>
    </row>
    <row r="15" spans="1:17" ht="15.75" customHeight="1" x14ac:dyDescent="0.3">
      <c r="A15" s="388" t="s">
        <v>182</v>
      </c>
      <c r="B15" s="378" t="s">
        <v>193</v>
      </c>
      <c r="C15" s="378"/>
      <c r="D15" s="378"/>
      <c r="E15" s="378"/>
      <c r="F15" s="379"/>
      <c r="G15" s="1"/>
      <c r="H15" s="207" t="s">
        <v>184</v>
      </c>
      <c r="I15" s="383" t="s">
        <v>185</v>
      </c>
      <c r="J15" s="207" t="s">
        <v>128</v>
      </c>
      <c r="K15" s="383" t="s">
        <v>186</v>
      </c>
      <c r="L15" s="207" t="s">
        <v>187</v>
      </c>
      <c r="M15" s="383" t="s">
        <v>185</v>
      </c>
      <c r="N15" s="207" t="s">
        <v>127</v>
      </c>
      <c r="O15" s="387" t="s">
        <v>186</v>
      </c>
      <c r="P15" s="390" t="s">
        <v>2</v>
      </c>
      <c r="Q15" s="1"/>
    </row>
    <row r="16" spans="1:17" ht="13.8" x14ac:dyDescent="0.25">
      <c r="A16" s="389"/>
      <c r="B16" s="380"/>
      <c r="C16" s="380"/>
      <c r="D16" s="380"/>
      <c r="E16" s="380"/>
      <c r="F16" s="381"/>
      <c r="G16" s="1"/>
      <c r="H16" s="182"/>
      <c r="I16" s="383"/>
      <c r="J16" s="194"/>
      <c r="K16" s="383"/>
      <c r="L16" s="192"/>
      <c r="M16" s="383"/>
      <c r="N16" s="202"/>
      <c r="O16" s="387"/>
      <c r="P16" s="391"/>
      <c r="Q16" s="1"/>
    </row>
    <row r="17" spans="1:17" ht="13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95"/>
      <c r="Q17" s="1"/>
    </row>
    <row r="18" spans="1:17" s="111" customFormat="1" ht="21" customHeight="1" x14ac:dyDescent="0.3">
      <c r="A18" s="198" t="s">
        <v>151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200"/>
      <c r="N18" s="212"/>
      <c r="O18" s="210"/>
      <c r="P18" s="221" t="s">
        <v>2</v>
      </c>
      <c r="Q18" s="97"/>
    </row>
    <row r="19" spans="1:17" ht="9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11"/>
      <c r="P19" s="1"/>
      <c r="Q19" s="1"/>
    </row>
    <row r="20" spans="1:17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96"/>
    </row>
    <row r="21" spans="1:17" x14ac:dyDescent="0.25">
      <c r="A21" s="39" t="s">
        <v>195</v>
      </c>
    </row>
  </sheetData>
  <mergeCells count="25">
    <mergeCell ref="O12:O13"/>
    <mergeCell ref="P12:P13"/>
    <mergeCell ref="P15:P16"/>
    <mergeCell ref="A15:A16"/>
    <mergeCell ref="B15:F16"/>
    <mergeCell ref="I15:I16"/>
    <mergeCell ref="K15:K16"/>
    <mergeCell ref="M15:M16"/>
    <mergeCell ref="O15:O16"/>
    <mergeCell ref="A12:A13"/>
    <mergeCell ref="B12:F13"/>
    <mergeCell ref="I12:I13"/>
    <mergeCell ref="K12:K13"/>
    <mergeCell ref="M12:M13"/>
    <mergeCell ref="D3:P3"/>
    <mergeCell ref="D4:P4"/>
    <mergeCell ref="B7:C7"/>
    <mergeCell ref="H7:N7"/>
    <mergeCell ref="A9:A10"/>
    <mergeCell ref="B9:F10"/>
    <mergeCell ref="I9:I10"/>
    <mergeCell ref="K9:K10"/>
    <mergeCell ref="M9:M10"/>
    <mergeCell ref="O9:O10"/>
    <mergeCell ref="P9:P1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Eingabe Stundensatz</vt:lpstr>
      <vt:lpstr>Projektannahmen</vt:lpstr>
      <vt:lpstr>Leistungsumfang</vt:lpstr>
      <vt:lpstr>Terminplan</vt:lpstr>
      <vt:lpstr>Projektklassenfaktor</vt:lpstr>
      <vt:lpstr>Personaleinsatzplan</vt:lpstr>
      <vt:lpstr>Plausibilitätsprüfung</vt:lpstr>
      <vt:lpstr>Honorarermittlung</vt:lpstr>
      <vt:lpstr>LV</vt:lpstr>
      <vt:lpstr>Terminplan!_ftn1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2019-02-26T09:10:07Z</dcterms:modified>
</cp:coreProperties>
</file>