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Stempkowski BBC GmbH\SBBC - 01_Aktuelle Projekte\WK\WK Leitfaden 2017\03-Konzepte\"/>
    </mc:Choice>
  </mc:AlternateContent>
  <xr:revisionPtr revIDLastSave="229" documentId="8_{F72AED43-ACD4-4786-AE0E-DDCFD3A9FD69}" xr6:coauthVersionLast="40" xr6:coauthVersionMax="40" xr10:uidLastSave="{A4DD4113-62CA-425C-9C1F-9431CDF10679}"/>
  <bookViews>
    <workbookView xWindow="-108" yWindow="-108" windowWidth="23256" windowHeight="12576" tabRatio="832" xr2:uid="{00000000-000D-0000-FFFF-FFFF00000000}"/>
  </bookViews>
  <sheets>
    <sheet name="Eingabe Stundensatz" sheetId="47" r:id="rId1"/>
    <sheet name="Projektannahmen" sheetId="45" r:id="rId2"/>
    <sheet name="Leistungsumfang" sheetId="25" r:id="rId3"/>
    <sheet name="Terminplan" sheetId="31" r:id="rId4"/>
    <sheet name="Projektklassenfaktor" sheetId="27" r:id="rId5"/>
    <sheet name="Honorarberechnung" sheetId="36" r:id="rId6"/>
    <sheet name="Personaleinsatzplan" sheetId="42" r:id="rId7"/>
    <sheet name="Plausibilitätsprüfung" sheetId="41" r:id="rId8"/>
    <sheet name="LV" sheetId="46" r:id="rId9"/>
  </sheets>
  <definedNames>
    <definedName name="_ftn1" localSheetId="3">Terminplan!$A$14</definedName>
    <definedName name="_ftnref1" localSheetId="3">Terminplan!#REF!</definedName>
    <definedName name="_xlnm.Print_Area" localSheetId="5">Honorarberechnung!$A$1:$L$55</definedName>
    <definedName name="_xlnm.Print_Area" localSheetId="2">Leistungsumfang!$A$1:$I$33</definedName>
    <definedName name="_xlnm.Print_Area" localSheetId="6">Personaleinsatzplan!$A$1:$R$90</definedName>
    <definedName name="_xlnm.Print_Area" localSheetId="7">Plausibilitätsprüfung!$A$1:$K$72</definedName>
    <definedName name="_xlnm.Print_Area" localSheetId="4">Projektklassenfaktor!$A:$H</definedName>
    <definedName name="_xlnm.Print_Area" localSheetId="3">Terminplan!$A$1:$O$15</definedName>
    <definedName name="_xlnm.Print_Titles" localSheetId="4">Projektklassenfaktor!$3:$3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46" l="1"/>
  <c r="D3" i="46"/>
  <c r="AO15" i="42" l="1"/>
  <c r="AJ13" i="42"/>
  <c r="AJ12" i="42"/>
  <c r="AD12" i="42"/>
  <c r="AD13" i="42" s="1"/>
  <c r="X12" i="42"/>
  <c r="X13" i="42" s="1"/>
  <c r="X15" i="42" l="1"/>
  <c r="X16" i="42" s="1"/>
  <c r="AD15" i="42"/>
  <c r="AD16" i="42" s="1"/>
  <c r="AJ15" i="42"/>
  <c r="AJ16" i="42" s="1"/>
  <c r="B31" i="25"/>
  <c r="B27" i="25"/>
  <c r="B23" i="25"/>
  <c r="B22" i="25"/>
  <c r="B21" i="25"/>
  <c r="B17" i="25"/>
  <c r="B16" i="25"/>
  <c r="B15" i="25"/>
  <c r="B11" i="25"/>
  <c r="X18" i="42" l="1"/>
  <c r="X19" i="42"/>
  <c r="AJ18" i="42"/>
  <c r="AJ19" i="42"/>
  <c r="AD18" i="42"/>
  <c r="AD19" i="42"/>
  <c r="AD21" i="42" s="1"/>
  <c r="AJ21" i="42" l="1"/>
  <c r="AP12" i="42"/>
  <c r="D12" i="42"/>
  <c r="B5" i="47"/>
  <c r="X21" i="42"/>
  <c r="E15" i="42"/>
  <c r="G16" i="42" s="1"/>
  <c r="E12" i="42"/>
  <c r="G13" i="42" s="1"/>
  <c r="G14" i="42" s="1"/>
  <c r="E9" i="42"/>
  <c r="G10" i="42" s="1"/>
  <c r="D33" i="27"/>
  <c r="D28" i="27"/>
  <c r="D20" i="27"/>
  <c r="D12" i="27"/>
  <c r="D4" i="25"/>
  <c r="D3" i="25"/>
  <c r="G17" i="42" l="1"/>
  <c r="D9" i="42"/>
  <c r="G11" i="42" s="1"/>
  <c r="B6" i="47"/>
  <c r="AP13" i="42"/>
  <c r="D15" i="42"/>
  <c r="AP11" i="42"/>
  <c r="AP15" i="42" s="1"/>
  <c r="B3" i="47" s="1"/>
  <c r="B4" i="47"/>
  <c r="G19" i="42"/>
  <c r="D7" i="36"/>
  <c r="D10" i="36"/>
  <c r="D11" i="36"/>
  <c r="J11" i="36"/>
  <c r="Q16" i="42"/>
  <c r="Q17" i="42" s="1"/>
  <c r="F33" i="25"/>
  <c r="H27" i="36"/>
  <c r="G58" i="41" s="1"/>
  <c r="H26" i="36"/>
  <c r="G50" i="41" s="1"/>
  <c r="H25" i="36"/>
  <c r="H24" i="36"/>
  <c r="G32" i="41" s="1"/>
  <c r="H23" i="36"/>
  <c r="G21" i="41" s="1"/>
  <c r="F55" i="41"/>
  <c r="F47" i="41"/>
  <c r="F37" i="41"/>
  <c r="F27" i="41"/>
  <c r="F18" i="41"/>
  <c r="D29" i="25"/>
  <c r="H21" i="36"/>
  <c r="G57" i="41" s="1"/>
  <c r="H19" i="36"/>
  <c r="B8" i="45"/>
  <c r="K16" i="42"/>
  <c r="K17" i="42" s="1"/>
  <c r="Q13" i="42"/>
  <c r="Q14" i="42" s="1"/>
  <c r="F10" i="42"/>
  <c r="F11" i="42" s="1"/>
  <c r="D4" i="27"/>
  <c r="E34" i="36"/>
  <c r="E35" i="36"/>
  <c r="E36" i="36"/>
  <c r="E37" i="36"/>
  <c r="E33" i="36"/>
  <c r="F43" i="36"/>
  <c r="E43" i="36"/>
  <c r="D4" i="36"/>
  <c r="D3" i="36"/>
  <c r="H20" i="36"/>
  <c r="G41" i="41" s="1"/>
  <c r="H22" i="36"/>
  <c r="G29" i="36"/>
  <c r="J29" i="36"/>
  <c r="G30" i="36"/>
  <c r="G39" i="36"/>
  <c r="J39" i="36"/>
  <c r="C12" i="27"/>
  <c r="E12" i="27"/>
  <c r="C20" i="27"/>
  <c r="E20" i="27"/>
  <c r="C28" i="27"/>
  <c r="E28" i="27"/>
  <c r="C33" i="27"/>
  <c r="E33" i="27"/>
  <c r="D13" i="25"/>
  <c r="D19" i="25"/>
  <c r="D25" i="25"/>
  <c r="Q10" i="42"/>
  <c r="I16" i="42"/>
  <c r="I17" i="42" s="1"/>
  <c r="J16" i="42"/>
  <c r="J17" i="42" s="1"/>
  <c r="H16" i="42"/>
  <c r="H17" i="42" s="1"/>
  <c r="O16" i="42"/>
  <c r="O17" i="42" s="1"/>
  <c r="M16" i="42"/>
  <c r="M17" i="42" s="1"/>
  <c r="P16" i="42"/>
  <c r="P17" i="42" s="1"/>
  <c r="K13" i="42"/>
  <c r="F16" i="42"/>
  <c r="F17" i="42" s="1"/>
  <c r="O13" i="42"/>
  <c r="O14" i="42" s="1"/>
  <c r="L16" i="42"/>
  <c r="L17" i="42" s="1"/>
  <c r="H13" i="42"/>
  <c r="H10" i="42"/>
  <c r="H11" i="42" s="1"/>
  <c r="L10" i="42"/>
  <c r="L11" i="42" s="1"/>
  <c r="N10" i="42"/>
  <c r="N13" i="42"/>
  <c r="N14" i="42" s="1"/>
  <c r="I10" i="42"/>
  <c r="M10" i="42"/>
  <c r="J10" i="42"/>
  <c r="N16" i="42"/>
  <c r="N17" i="42" s="1"/>
  <c r="K10" i="42"/>
  <c r="K11" i="42" s="1"/>
  <c r="M13" i="42"/>
  <c r="M14" i="42" s="1"/>
  <c r="I13" i="42"/>
  <c r="I14" i="42" s="1"/>
  <c r="P13" i="42"/>
  <c r="P14" i="42" s="1"/>
  <c r="P10" i="42"/>
  <c r="O10" i="42"/>
  <c r="L13" i="42"/>
  <c r="F13" i="42"/>
  <c r="F14" i="42" s="1"/>
  <c r="J13" i="42"/>
  <c r="J14" i="42" s="1"/>
  <c r="O11" i="42" l="1"/>
  <c r="M11" i="42"/>
  <c r="I11" i="42"/>
  <c r="J11" i="42"/>
  <c r="N11" i="42"/>
  <c r="D32" i="41"/>
  <c r="L19" i="42"/>
  <c r="D4" i="41"/>
  <c r="E4" i="42"/>
  <c r="P19" i="42"/>
  <c r="L14" i="42"/>
  <c r="K45" i="41" s="1"/>
  <c r="P11" i="42"/>
  <c r="K53" i="41" s="1"/>
  <c r="E3" i="42"/>
  <c r="D41" i="41"/>
  <c r="N19" i="42"/>
  <c r="D3" i="41"/>
  <c r="I19" i="42"/>
  <c r="F19" i="42"/>
  <c r="J18" i="41" s="1"/>
  <c r="J19" i="42"/>
  <c r="I24" i="36"/>
  <c r="I23" i="36"/>
  <c r="H14" i="42"/>
  <c r="H19" i="42"/>
  <c r="O19" i="42"/>
  <c r="M19" i="42"/>
  <c r="K14" i="42"/>
  <c r="K19" i="42"/>
  <c r="R17" i="42"/>
  <c r="Q19" i="42"/>
  <c r="J55" i="41" s="1"/>
  <c r="Q11" i="42"/>
  <c r="K62" i="41" s="1"/>
  <c r="D38" i="27"/>
  <c r="D40" i="27" s="1"/>
  <c r="D8" i="36" s="1"/>
  <c r="H36" i="36" s="1"/>
  <c r="I25" i="36"/>
  <c r="I22" i="36"/>
  <c r="I26" i="36"/>
  <c r="K25" i="41"/>
  <c r="G20" i="41"/>
  <c r="D20" i="41" s="1"/>
  <c r="D57" i="41"/>
  <c r="I19" i="36"/>
  <c r="I20" i="36"/>
  <c r="I21" i="36"/>
  <c r="D58" i="41"/>
  <c r="G59" i="41"/>
  <c r="E58" i="41" s="1"/>
  <c r="I27" i="36"/>
  <c r="G42" i="41"/>
  <c r="J47" i="41" l="1"/>
  <c r="J37" i="41"/>
  <c r="H33" i="36"/>
  <c r="I33" i="36" s="1"/>
  <c r="G39" i="41"/>
  <c r="I36" i="36"/>
  <c r="R11" i="42"/>
  <c r="R14" i="42"/>
  <c r="G22" i="41"/>
  <c r="I20" i="41" s="1"/>
  <c r="H34" i="36"/>
  <c r="K35" i="41"/>
  <c r="K64" i="41" s="1"/>
  <c r="K69" i="41" s="1"/>
  <c r="H43" i="36"/>
  <c r="H37" i="36"/>
  <c r="H35" i="36"/>
  <c r="J27" i="41"/>
  <c r="D42" i="41"/>
  <c r="I57" i="41"/>
  <c r="K59" i="41"/>
  <c r="E57" i="41"/>
  <c r="E59" i="41" s="1"/>
  <c r="G62" i="41"/>
  <c r="H47" i="36" l="1"/>
  <c r="G29" i="41"/>
  <c r="R21" i="42"/>
  <c r="R27" i="42" s="1"/>
  <c r="R31" i="42" s="1"/>
  <c r="R33" i="42" s="1"/>
  <c r="R35" i="42" s="1"/>
  <c r="G25" i="41"/>
  <c r="G49" i="41"/>
  <c r="I43" i="36"/>
  <c r="G40" i="41"/>
  <c r="G43" i="41" s="1"/>
  <c r="E39" i="41" s="1"/>
  <c r="I37" i="36"/>
  <c r="E20" i="41"/>
  <c r="K23" i="41"/>
  <c r="E21" i="41"/>
  <c r="G31" i="41"/>
  <c r="D31" i="41" s="1"/>
  <c r="I35" i="36"/>
  <c r="G30" i="41"/>
  <c r="I34" i="36"/>
  <c r="D39" i="41"/>
  <c r="G33" i="41" l="1"/>
  <c r="E29" i="41" s="1"/>
  <c r="D29" i="41"/>
  <c r="I48" i="36"/>
  <c r="I51" i="36" s="1"/>
  <c r="J43" i="36" s="1"/>
  <c r="E22" i="41"/>
  <c r="D30" i="41"/>
  <c r="D40" i="41"/>
  <c r="E40" i="41"/>
  <c r="I39" i="41"/>
  <c r="K43" i="41"/>
  <c r="E41" i="41"/>
  <c r="G45" i="41"/>
  <c r="E42" i="41"/>
  <c r="G51" i="41"/>
  <c r="D49" i="41"/>
  <c r="E31" i="41" l="1"/>
  <c r="K33" i="41"/>
  <c r="E32" i="41"/>
  <c r="E30" i="41"/>
  <c r="G35" i="41"/>
  <c r="I29" i="41"/>
  <c r="E43" i="41"/>
  <c r="J27" i="36"/>
  <c r="J22" i="36"/>
  <c r="J25" i="36"/>
  <c r="J26" i="36"/>
  <c r="J49" i="36"/>
  <c r="I53" i="36"/>
  <c r="I54" i="36" s="1"/>
  <c r="J36" i="36"/>
  <c r="J20" i="36"/>
  <c r="J24" i="36"/>
  <c r="J21" i="36"/>
  <c r="J19" i="36"/>
  <c r="J23" i="36"/>
  <c r="J33" i="36"/>
  <c r="J34" i="36"/>
  <c r="J37" i="36"/>
  <c r="J35" i="36"/>
  <c r="G53" i="41"/>
  <c r="I49" i="41"/>
  <c r="E50" i="41"/>
  <c r="K51" i="41"/>
  <c r="E49" i="41"/>
  <c r="E51" i="41" s="1"/>
  <c r="E33" i="41" l="1"/>
  <c r="G64" i="41"/>
  <c r="K68" i="41" s="1"/>
  <c r="K70" i="41" s="1"/>
  <c r="J51" i="36"/>
</calcChain>
</file>

<file path=xl/sharedStrings.xml><?xml version="1.0" encoding="utf-8"?>
<sst xmlns="http://schemas.openxmlformats.org/spreadsheetml/2006/main" count="556" uniqueCount="310">
  <si>
    <t>min.</t>
  </si>
  <si>
    <t>max.</t>
  </si>
  <si>
    <t>€</t>
  </si>
  <si>
    <t>SUMME Gesamtpunkte</t>
  </si>
  <si>
    <t xml:space="preserve">Projektklassenfaktor = </t>
  </si>
  <si>
    <t xml:space="preserve">Angabe in </t>
  </si>
  <si>
    <t>a</t>
  </si>
  <si>
    <t>Komplexität der Projektorganisation</t>
  </si>
  <si>
    <t>Komplexität der Projektorganisationsform</t>
  </si>
  <si>
    <t>gering</t>
  </si>
  <si>
    <t>hoch</t>
  </si>
  <si>
    <t>Entscheidungsstruktur des AG</t>
  </si>
  <si>
    <t>einfach</t>
  </si>
  <si>
    <t>komplex</t>
  </si>
  <si>
    <t>zB. viele Instanzen bei Entscheidungsfindung, Änderungshäufigkeit, Zeitpunkt der Entscheidungen (rechtzeitig, immer zu spät), Dauer der Entscheidungsfindung</t>
  </si>
  <si>
    <t>Projektroutine der AN-Organisation</t>
  </si>
  <si>
    <t>zB. Spezifische Projekterfahrung entsprechend Gebäudetyp und Projektgröße, Erfahrung mit Behörden, Erfahrung mit AG / Nutzer, Erfahrung mit Rahmenbedingungen</t>
  </si>
  <si>
    <t>Sonstige Besonderheiten:</t>
  </si>
  <si>
    <t>Besonderheiten, die nicht direkt einem anderen Teilaspekt zugeordnet werden können inkl. Kurzbeschreibung</t>
  </si>
  <si>
    <t>b</t>
  </si>
  <si>
    <t>Art des Bauwerks</t>
  </si>
  <si>
    <t>c</t>
  </si>
  <si>
    <t>Komplexität der Planungsleistung</t>
  </si>
  <si>
    <t xml:space="preserve">Komplexität der Planungsleistung </t>
  </si>
  <si>
    <t>niedrig</t>
  </si>
  <si>
    <t>zB. Schwierigkeitsgrad des Bauwerkes, Wiederholbarkeit (zB. Regelgeschoße), Anzahl unterschiedlicher Nutzungen, Ausstattungsgrad (zB. HKLS), Konstruktion, Material, Bauform</t>
  </si>
  <si>
    <t>Beratungsbedarf</t>
  </si>
  <si>
    <t>zB. Höhe des Besprechungsaufwandes, Vorbereitungsaufwand für Entscheidungsfindung</t>
  </si>
  <si>
    <t>Koordinationsbedarf (anderer an der Planung fachlich Beteiligter)</t>
  </si>
  <si>
    <t>zB. Abstimmungsaufwand (Einzel-, Generalplaner), Kompatibilität der Planung (Übertragbarkeit in andere Pläne, EDV-Programme, Layerstruktur, Beschriftung, ...), Kenntnis der anderen Planer</t>
  </si>
  <si>
    <t>Art und Umfang der Behördenverfahren</t>
  </si>
  <si>
    <t>zB. Anzahl der Abstimmungen mit Behörde, Anzahl der verschiedenen Fachbereiche zB. Einreichung, Betriebsanlagen-, straßenrechtliche, Sondergenehmigung, Umfang der Unterlagen</t>
  </si>
  <si>
    <t>sonstige Besonderheiten:</t>
  </si>
  <si>
    <t>d</t>
  </si>
  <si>
    <t>Projektrisiken der Planung</t>
  </si>
  <si>
    <t>technische Risiken</t>
  </si>
  <si>
    <t>zB. Baugrundrisiko, Interaktion Baugrund - Bauwerk, erforderliche Änderungen des Bauablaufes, ungeeignete Baumethode, Technologieentwicklung</t>
  </si>
  <si>
    <t>wirtschaftliche Risiken</t>
  </si>
  <si>
    <t>zB. Finanzierbarkeit des Projektes (Rücknahme von Finanzierungszusagen), generelle Wirtschaftsentwicklung (Inflation), wirtschaftliche Optimierung durch Varianten</t>
  </si>
  <si>
    <t>politisch-gesellschaftliche Risiken</t>
  </si>
  <si>
    <t>zB. Änderung der Zielvorgaben, Widerstände von Bürgern oder Politik, Planungsstop durch politische Situation</t>
  </si>
  <si>
    <t>Umwelt und Ökologierisiken</t>
  </si>
  <si>
    <t>zB. Änderung der Umweltstandards, Umweltauflagen</t>
  </si>
  <si>
    <t>Verfahrensrisiken</t>
  </si>
  <si>
    <t>zB. Zeitrisiko aus Genehmigungsverfahren oder Behördeneingriffen, Vergaberisiken (Einsprüche, Formalfehler, ...)</t>
  </si>
  <si>
    <t>sonstige Risiken</t>
  </si>
  <si>
    <t>e</t>
  </si>
  <si>
    <t>Anforderungen an die Terminvorgaben</t>
  </si>
  <si>
    <t>Zeitausmaß für Planung</t>
  </si>
  <si>
    <t>lang</t>
  </si>
  <si>
    <t>kurz</t>
  </si>
  <si>
    <t>zB. Planlieferfristen (Pönale), Anforderungen an die Bauphasenplanung, Dauer der Planungsphasen, Zuverlässigkeit anderer an der Planung fachlich Beteiligter</t>
  </si>
  <si>
    <t>Abfolge der Leistungserbringung</t>
  </si>
  <si>
    <t>parallel</t>
  </si>
  <si>
    <t>zB. Intensität der Überschneidung von Projektphasen, Anzahl der Leistungsunterbrechungen</t>
  </si>
  <si>
    <t>f</t>
  </si>
  <si>
    <t>Anforderungen an die Kostenvorgaben</t>
  </si>
  <si>
    <t>Kostendruck</t>
  </si>
  <si>
    <t>zB. Kostenrahmen (extrem eng, eng, standard), Folgen der Kostenüberschreitung, Optimierungsmöglichkeiten, Reserven</t>
  </si>
  <si>
    <t>Komplexität der Kostenplanung</t>
  </si>
  <si>
    <t>zB. Komplexität der Ermittlung der Kostenansätze, Revisionshäufigkeit, Qualität der Datenbasis, Detaillierung des Kostenmanagements</t>
  </si>
  <si>
    <t>Projekt</t>
  </si>
  <si>
    <t>Auftraggeber</t>
  </si>
  <si>
    <t>Allgemeine Grundlagen</t>
  </si>
  <si>
    <t>Stundensatz [€/h]</t>
  </si>
  <si>
    <t>Nr.</t>
  </si>
  <si>
    <t>Teilleistung</t>
  </si>
  <si>
    <t>Abschätzung der Planungskosten</t>
  </si>
  <si>
    <t>Aufwandsabhängige Kostenschätzung</t>
  </si>
  <si>
    <t>Bauwerksgrößenabhängige Kosten</t>
  </si>
  <si>
    <t>Projektdauerabhängige Kosten</t>
  </si>
  <si>
    <t>Summe zivilrechtl. Preis</t>
  </si>
  <si>
    <t>€/h  (inkl. aller Zuschläge)</t>
  </si>
  <si>
    <t>siehe eigenes Ermittlungsblatt</t>
  </si>
  <si>
    <t>Sonstige Teilleistungen</t>
  </si>
  <si>
    <t>Erläuterung</t>
  </si>
  <si>
    <t>Summe Angebotspreis</t>
  </si>
  <si>
    <t>SUMME Stunden</t>
  </si>
  <si>
    <t>SUMME Kosten</t>
  </si>
  <si>
    <t>Erläuterungen</t>
  </si>
  <si>
    <t>Punkte</t>
  </si>
  <si>
    <t>Fremdleistungen</t>
  </si>
  <si>
    <t>Phase 3: Ausführungsvorbereitung</t>
  </si>
  <si>
    <t>Phase 4: Ausführung</t>
  </si>
  <si>
    <t>1.9</t>
  </si>
  <si>
    <t>Bruttogrundfläche</t>
  </si>
  <si>
    <r>
      <t>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</si>
  <si>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r>
      <t>€/m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</si>
  <si>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t>zB. öffentlicher/privater Bauherr, Anzahl der Beteiligten, Organigramm Beteiligte, Anzahl der Schnittstellen - Koordinationsaufwand abh. von Auftragsart: Einzel-, Generalplaner, Leistungsabgrenzung</t>
  </si>
  <si>
    <t>CHECK-LISTE für die Projektanalyse</t>
  </si>
  <si>
    <r>
      <t>Hinweis zur tägl. Arbeitszeit:</t>
    </r>
    <r>
      <rPr>
        <i/>
        <sz val="11"/>
        <rFont val="Arial"/>
        <family val="2"/>
      </rPr>
      <t xml:space="preserve">   Bei Üstd.pauschale i.a. &gt; 8h</t>
    </r>
  </si>
  <si>
    <r>
      <t>Hinweis zu Aufwandswerten:</t>
    </r>
    <r>
      <rPr>
        <i/>
        <sz val="11"/>
        <rFont val="Arial"/>
        <family val="2"/>
      </rPr>
      <t xml:space="preserve"> Diese sind projektspezifisch abzuschätzen und nach Aufwand abzurechnen</t>
    </r>
  </si>
  <si>
    <r>
      <t>Hinweis zu Aufwandswerten:</t>
    </r>
    <r>
      <rPr>
        <i/>
        <sz val="11"/>
        <rFont val="Arial"/>
        <family val="2"/>
      </rPr>
      <t xml:space="preserve"> Diese sind projektspezifisch abzuschätzen</t>
    </r>
  </si>
  <si>
    <r>
      <t>Hinweis zu Aufwandswerten:</t>
    </r>
    <r>
      <rPr>
        <i/>
        <sz val="11"/>
        <rFont val="Arial"/>
        <family val="2"/>
      </rPr>
      <t xml:space="preserve"> Vergleichswerte (Bandbreiten) befinden sich im Leitfaden Band 2</t>
    </r>
  </si>
  <si>
    <r>
      <t>Hinweis zu Anteil Angebotspreis:</t>
    </r>
    <r>
      <rPr>
        <i/>
        <sz val="11"/>
        <rFont val="Arial"/>
        <family val="2"/>
      </rPr>
      <t xml:space="preserve"> Vergleichswerte finden sich im Leitfaden Band 2</t>
    </r>
  </si>
  <si>
    <t>Phase 1: Projektvorbereitung</t>
  </si>
  <si>
    <t>Phase 2: Planung</t>
  </si>
  <si>
    <t>ERGEBNISSE</t>
  </si>
  <si>
    <t>20% MWSt.</t>
  </si>
  <si>
    <t>Projektklassenfaktor (PKF)</t>
  </si>
  <si>
    <t>Herstellkosten</t>
  </si>
  <si>
    <t>B</t>
  </si>
  <si>
    <t>Grundleistung</t>
  </si>
  <si>
    <t>optionale Leistung</t>
  </si>
  <si>
    <t>Leistungs-umfang [%]</t>
  </si>
  <si>
    <t>Dauer [Mo]</t>
  </si>
  <si>
    <t>Dauer d. Phase [Mo]</t>
  </si>
  <si>
    <t>[h/Mo]</t>
  </si>
  <si>
    <t>[%]</t>
  </si>
  <si>
    <t>[Mo]</t>
  </si>
  <si>
    <t>[h]</t>
  </si>
  <si>
    <t>[€]</t>
  </si>
  <si>
    <t>Leistungs-umfang Grund-leistung</t>
  </si>
  <si>
    <t>Kosten für die Teilleistung</t>
  </si>
  <si>
    <t>Stunden optionale Leistung (inkl.PKF)</t>
  </si>
  <si>
    <t>Ø tägl. Arbeitszeit [h/AT]</t>
  </si>
  <si>
    <t>h/AT</t>
  </si>
  <si>
    <t>Dauer Grund-leistung</t>
  </si>
  <si>
    <t>Anteil an Anbots-preis</t>
  </si>
  <si>
    <t>Beschreibung Leistungsumfang</t>
  </si>
  <si>
    <t>[MaTage]</t>
  </si>
  <si>
    <t>A</t>
  </si>
  <si>
    <t>D=C*Std.satz</t>
  </si>
  <si>
    <t>C=A*[h/AT]+B</t>
  </si>
  <si>
    <t>E</t>
  </si>
  <si>
    <t>Summe Stunden 
(inkl.PKF)</t>
  </si>
  <si>
    <t>F</t>
  </si>
  <si>
    <t>Stunden / Mo (für 100% Grundleistung, ohne PKF)</t>
  </si>
  <si>
    <t>Summe Stunden (inkl.PKF)</t>
  </si>
  <si>
    <t>J</t>
  </si>
  <si>
    <t>K</t>
  </si>
  <si>
    <t>L</t>
  </si>
  <si>
    <t xml:space="preserve">Aufwandswert (für 100% Grundleistung, ohne PKF) </t>
  </si>
  <si>
    <t>G</t>
  </si>
  <si>
    <t>I=H*Std.satz</t>
  </si>
  <si>
    <t>M</t>
  </si>
  <si>
    <t>N=J*K*L*PKF+M</t>
  </si>
  <si>
    <t>O=N*Std.satz</t>
  </si>
  <si>
    <t>geschätzter Aufwandswert 
(für anteilige Grundleistung, inkl.PKF)</t>
  </si>
  <si>
    <t>hinterei-nander</t>
  </si>
  <si>
    <t>Projekt-vorbereitung</t>
  </si>
  <si>
    <t>Planung</t>
  </si>
  <si>
    <t>Ausführungs-vorbereitung</t>
  </si>
  <si>
    <t>Ausführung</t>
  </si>
  <si>
    <t>Projekt-abschluss</t>
  </si>
  <si>
    <t>Zeitschiene in  [Mo]</t>
  </si>
  <si>
    <t>Gesamtstd.</t>
  </si>
  <si>
    <t>Summe Kosten</t>
  </si>
  <si>
    <t>Monate</t>
  </si>
  <si>
    <t>PLAUSIBILITÄTSPRÜFUNG - STUNDENVERTEILUNG</t>
  </si>
  <si>
    <t>Gesamtdauer der Leistung</t>
  </si>
  <si>
    <t>Mo</t>
  </si>
  <si>
    <t xml:space="preserve">A </t>
  </si>
  <si>
    <t>C</t>
  </si>
  <si>
    <t>D</t>
  </si>
  <si>
    <t>Dauer der Phase</t>
  </si>
  <si>
    <t>Zwischensumme</t>
  </si>
  <si>
    <t>Phase 5: Projektabschluss</t>
  </si>
  <si>
    <t>Funktion</t>
  </si>
  <si>
    <t>KV</t>
  </si>
  <si>
    <t>Stunden-satz Gruppe [€/h]</t>
  </si>
  <si>
    <t>Ausführungsvorber.</t>
  </si>
  <si>
    <t>Name</t>
  </si>
  <si>
    <t>Summe</t>
  </si>
  <si>
    <t xml:space="preserve">  </t>
  </si>
  <si>
    <t>Kosten je Monat</t>
  </si>
  <si>
    <t>Summe Stunden / Monat</t>
  </si>
  <si>
    <t>+ Zuschlag / Nachlass [%]</t>
  </si>
  <si>
    <t>+ 20% MWSt.</t>
  </si>
  <si>
    <t>h</t>
  </si>
  <si>
    <t>∆</t>
  </si>
  <si>
    <t>Differenz</t>
  </si>
  <si>
    <t>Stunden je Monat</t>
  </si>
  <si>
    <t>Stunden für einzelnen Teil-leistungen (Honorar-ermittlung)</t>
  </si>
  <si>
    <t>Kontrolle der Übereinstimmung der Stunden aus der Honorarermittlung mit den Stunden laut Personaleinsatzplan (jeweils Summe h für gesamte Phase)</t>
  </si>
  <si>
    <t>Summe Honorar (Projektvorbereitung)</t>
  </si>
  <si>
    <t>Summe Honorar (Planung)</t>
  </si>
  <si>
    <t>Summe Honorar (Ausführungsvorbereitung)</t>
  </si>
  <si>
    <t>Summe Honorar (Ausführung)</t>
  </si>
  <si>
    <t>Summe Honorar (Projektabschluss)</t>
  </si>
  <si>
    <t>Verteilung der Stunden aus der Detailkalkulation</t>
  </si>
  <si>
    <t>Allg. Beschreibung</t>
  </si>
  <si>
    <t>Euro</t>
  </si>
  <si>
    <t>Leistungszeitraum Planung</t>
  </si>
  <si>
    <t>Kostenkennwert</t>
  </si>
  <si>
    <t>Gesamtdauer Leistung</t>
  </si>
  <si>
    <t>Leistungsverzeichnis</t>
  </si>
  <si>
    <t>€/h</t>
  </si>
  <si>
    <t>x</t>
  </si>
  <si>
    <t>=</t>
  </si>
  <si>
    <t>Vorentwurf *</t>
  </si>
  <si>
    <t>h/Monat</t>
  </si>
  <si>
    <t>Leistungs-anteil</t>
  </si>
  <si>
    <t xml:space="preserve">Stunden / Mo 
(für 100% Grundleistung, inkl. PKF) </t>
  </si>
  <si>
    <t>Mittlerer Stundensatz</t>
  </si>
  <si>
    <t>PROJEKTANNAHMEN</t>
  </si>
  <si>
    <t>EINGABE STUNDENSATZ</t>
  </si>
  <si>
    <t>PERSONALEINSATZPLAN (Plausibilitätskontrolle)</t>
  </si>
  <si>
    <t>DETAILKALKULATION auf Basis der Teilleistungen</t>
  </si>
  <si>
    <t>Sonstige Teilleistungen PPH1</t>
  </si>
  <si>
    <t>Sonstige Teilleistungen PPH2</t>
  </si>
  <si>
    <t>Sonstige Teilleistungen PPH3</t>
  </si>
  <si>
    <t>Sonstige Teilleistungen PPH4</t>
  </si>
  <si>
    <t>Sonstige Teilleistungen PPH5</t>
  </si>
  <si>
    <r>
      <t xml:space="preserve">Summe Honorar </t>
    </r>
    <r>
      <rPr>
        <i/>
        <sz val="9"/>
        <rFont val="Arial"/>
        <family val="2"/>
      </rPr>
      <t>(exkl. Pauschalen, MWSt.)</t>
    </r>
  </si>
  <si>
    <r>
      <t xml:space="preserve">Summe Honorar aus dem Personaleinsatzplan </t>
    </r>
    <r>
      <rPr>
        <sz val="9"/>
        <rFont val="Arial"/>
        <family val="2"/>
      </rPr>
      <t>(inkl. Pauschalen, exkl. Zuschläge/Nachlässe, MWSt)</t>
    </r>
  </si>
  <si>
    <t>Summe Pauschalen (Projektstart, Projektabschluss) *</t>
  </si>
  <si>
    <t>+ Pauschale Projektstart [€] *</t>
  </si>
  <si>
    <t>+ Pauschale Projektabschluss [€] *</t>
  </si>
  <si>
    <t>*</t>
  </si>
  <si>
    <t>* Für Leistungen außerhalb des Hauptleistungszeitraumes sind Pauschalen (Projektstart und Projektabschluss) gesondert zu ermitteln.</t>
  </si>
  <si>
    <t>ANALYSE DES LEISTUNGSUMFANGES DER TIEFBAUPLANUNG</t>
  </si>
  <si>
    <t>TIEFBAUPLANUNG TEILLEISTUNGEN</t>
  </si>
  <si>
    <t>ERMITTLUNG DES PROJEKTKLASSENFAKTORS (Tiefbauplanung)</t>
  </si>
  <si>
    <t>* Tiefbauplanung Leistungsumfang lt. Leistungsbild</t>
  </si>
  <si>
    <t>Pos. B.3.1.</t>
  </si>
  <si>
    <t>Pos. B.3.2.</t>
  </si>
  <si>
    <t>Pos. B.3.3.</t>
  </si>
  <si>
    <t>Pos. B.3.4.</t>
  </si>
  <si>
    <t>Pos. B.3.5.</t>
  </si>
  <si>
    <t>Pos. B.3.8.</t>
  </si>
  <si>
    <t>Pos. B.3.9.</t>
  </si>
  <si>
    <t>EH</t>
  </si>
  <si>
    <t>€/EH</t>
  </si>
  <si>
    <t>h/EH</t>
  </si>
  <si>
    <t>[h/EH]</t>
  </si>
  <si>
    <t>H=E*F*BG*PKF+G</t>
  </si>
  <si>
    <t>Bezugsgröße BG</t>
  </si>
  <si>
    <t>Projekt-abschl.</t>
  </si>
  <si>
    <t>Projekt-vorb.</t>
  </si>
  <si>
    <t>(Bezugsgröße)</t>
  </si>
  <si>
    <t>Grundlagenanalyse</t>
  </si>
  <si>
    <t>B.3.1.</t>
  </si>
  <si>
    <t>Mitwirkung an der Vergabe</t>
  </si>
  <si>
    <t>B.3.6.b</t>
  </si>
  <si>
    <t>Objektbetreuung</t>
  </si>
  <si>
    <t>B.3.9.</t>
  </si>
  <si>
    <t>B.3.2.</t>
  </si>
  <si>
    <t>Vorentwurf</t>
  </si>
  <si>
    <t>Entwurf</t>
  </si>
  <si>
    <t>B.3.3.</t>
  </si>
  <si>
    <t>Einreichplanung</t>
  </si>
  <si>
    <t>B.3.4.</t>
  </si>
  <si>
    <t>Ausführungsplanung</t>
  </si>
  <si>
    <t>B.3.5.</t>
  </si>
  <si>
    <t>Ausschreibung (LVs)</t>
  </si>
  <si>
    <t>B.3.6.a</t>
  </si>
  <si>
    <t>Begleitung der Bauausführung</t>
  </si>
  <si>
    <t>B.3.7.</t>
  </si>
  <si>
    <t>Grundlagenanalyse*</t>
  </si>
  <si>
    <t>Entwurf *</t>
  </si>
  <si>
    <t>Einreichplanung *</t>
  </si>
  <si>
    <t>Ausführungsplanung*</t>
  </si>
  <si>
    <t>Ausschreibung (LVs) *</t>
  </si>
  <si>
    <t>Mitwirkung an der Vergabe*</t>
  </si>
  <si>
    <t>Pos. B.3.6.a</t>
  </si>
  <si>
    <t>Pos. B.3.6.b</t>
  </si>
  <si>
    <t>Begleitung der Bauausführung *</t>
  </si>
  <si>
    <t>Pos. B.3.7</t>
  </si>
  <si>
    <t>-- (Hinweis: ÖBA siehe B.2.)</t>
  </si>
  <si>
    <t>Objektbetreuung *</t>
  </si>
  <si>
    <t>B.3.1</t>
  </si>
  <si>
    <t>B.3.2</t>
  </si>
  <si>
    <t>B.3.3</t>
  </si>
  <si>
    <t>B.3.4</t>
  </si>
  <si>
    <t>B.3.5</t>
  </si>
  <si>
    <t>B.3.7</t>
  </si>
  <si>
    <t>B.3.9</t>
  </si>
  <si>
    <t>ABA BA 14, 6000 m Schmutz- und Regenwasserkanäle</t>
  </si>
  <si>
    <t>AG 02</t>
  </si>
  <si>
    <t>m</t>
  </si>
  <si>
    <t>€/m</t>
  </si>
  <si>
    <t>größere Anzahl an Beteiligten, Schnittstellen zu Prüf- und Koordinationsorganen</t>
  </si>
  <si>
    <t>Dauer der Entscheidungsfindung, Änderung der Anforderungen</t>
  </si>
  <si>
    <t>erhöhter Besprechungsaufwand</t>
  </si>
  <si>
    <t>wenig Schnittstellen zu anderen Planern</t>
  </si>
  <si>
    <t>Abstimmungen mit Behördenvertretern</t>
  </si>
  <si>
    <t>Rücknahme von Finanzierungszusagen</t>
  </si>
  <si>
    <t>politisch gewünschtes Projekt</t>
  </si>
  <si>
    <t>Umweltauflagen</t>
  </si>
  <si>
    <t>Einsprüche</t>
  </si>
  <si>
    <t>terminierte Planlieferfristen</t>
  </si>
  <si>
    <t>durchgängige Leistungserbringung</t>
  </si>
  <si>
    <t>realistische Vorgaben zu Kostenrahmen</t>
  </si>
  <si>
    <t>Auswirkungen von Umplanungen</t>
  </si>
  <si>
    <t>Planungsleiter</t>
  </si>
  <si>
    <t>Name1</t>
  </si>
  <si>
    <t>A4</t>
  </si>
  <si>
    <t>Techniker</t>
  </si>
  <si>
    <t>Name2</t>
  </si>
  <si>
    <t>A3</t>
  </si>
  <si>
    <t>Sekretariat</t>
  </si>
  <si>
    <t>Name3</t>
  </si>
  <si>
    <t>A2</t>
  </si>
  <si>
    <t>Stundensatz Gehilfe</t>
  </si>
  <si>
    <t>Stundensatz Fachkräfte</t>
  </si>
  <si>
    <t>Stundensatz Fachkräfte in gehobener Stellung</t>
  </si>
  <si>
    <r>
      <t xml:space="preserve">Summe Honorar aus Detailkalkulation der Teilleistungen </t>
    </r>
    <r>
      <rPr>
        <sz val="9"/>
        <rFont val="Arial"/>
        <family val="2"/>
      </rPr>
      <t>(exkl. Zuschläge/Nachlässe, MWSt)</t>
    </r>
  </si>
  <si>
    <t>%-Zuschlag</t>
  </si>
  <si>
    <t>Mischwert  Stundensatz</t>
  </si>
  <si>
    <t xml:space="preserve">+ Gemeinkosten Personal (in % von Einzelkosten) </t>
  </si>
  <si>
    <t xml:space="preserve">  = Personalkosten</t>
  </si>
  <si>
    <t xml:space="preserve">+ Gemeinkosten Material (in % von Personalkosten) </t>
  </si>
  <si>
    <t xml:space="preserve">  = Selbstkosten Eigenleistung</t>
  </si>
  <si>
    <t xml:space="preserve">+ Zuschlag für Risiko  (in % von Selbstk. Eigenl.) </t>
  </si>
  <si>
    <t xml:space="preserve">+ Zuschlag für Gewinn  (in % von Selbstk. Eigenl.) </t>
  </si>
  <si>
    <t xml:space="preserve">  = Preis Eigenleistung pro Stunde</t>
  </si>
  <si>
    <t>Mischstundensatz</t>
  </si>
  <si>
    <t>%-Anteil</t>
  </si>
  <si>
    <t>€ /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</si>
</sst>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\ &quot;€&quot;;\-#,##0\ &quot;€&quot;"/>
    <numFmt numFmtId="165" formatCode="#,##0.00\ &quot;€&quot;;[Red]\-#,##0.00\ &quot;€&quot;"/>
    <numFmt numFmtId="166" formatCode="_-* #,##0.00\ &quot;€&quot;_-;\-* #,##0.00\ &quot;€&quot;_-;_-* &quot;-&quot;??\ &quot;€&quot;_-;_-@_-"/>
    <numFmt numFmtId="167" formatCode="0.0"/>
    <numFmt numFmtId="168" formatCode="0.0%"/>
    <numFmt numFmtId="169" formatCode="#,##0_ ;[Red]\-#,##0\ "/>
    <numFmt numFmtId="170" formatCode="#,##0.0_ ;[Red]\-#,##0.0\ "/>
    <numFmt numFmtId="172" formatCode="#,##0.00\ &quot;€&quot;"/>
    <numFmt numFmtId="173" formatCode="#,##0\ &quot;€&quot;"/>
    <numFmt numFmtId="174" formatCode="#,##0.0\ &quot;€&quot;"/>
    <numFmt numFmtId="175" formatCode="#,##0.00_ ;\-#,##0.00\ "/>
    <numFmt numFmtId="176" formatCode="_-* #,##0.00\ [$€-407]_-;\-* #,##0.00\ [$€-407]_-;_-* &quot;-&quot;??\ [$€-407]_-;_-@_-"/>
    <numFmt numFmtId="177" formatCode="&quot;€&quot;\ #,##0.00"/>
    <numFmt numFmtId="178" formatCode="0.000"/>
  </numFmts>
  <fonts count="27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11"/>
      <name val="MS Reference Sans Serif"/>
      <family val="2"/>
    </font>
    <font>
      <strike/>
      <sz val="11"/>
      <name val="Arial"/>
      <family val="2"/>
    </font>
    <font>
      <b/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sz val="11"/>
      <color theme="0" tint="-0.499984740745262"/>
      <name val="Arial"/>
      <family val="2"/>
    </font>
    <font>
      <u/>
      <sz val="1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theme="0"/>
        <bgColor rgb="FFCCFFCC"/>
      </patternFill>
    </fill>
    <fill>
      <patternFill patternType="lightDown">
        <fgColor theme="0"/>
        <bgColor theme="0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 tint="-0.24994659260841701"/>
      </patternFill>
    </fill>
    <fill>
      <patternFill patternType="solid">
        <fgColor theme="0" tint="-4.9989318521683403E-2"/>
        <bgColor theme="0" tint="-0.2499465926084170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166" fontId="1" fillId="0" borderId="0" applyFont="0" applyFill="0" applyBorder="0" applyAlignment="0" applyProtection="0"/>
  </cellStyleXfs>
  <cellXfs count="474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center"/>
    </xf>
    <xf numFmtId="0" fontId="9" fillId="0" borderId="0" xfId="0" applyFont="1" applyAlignment="1">
      <alignment vertical="top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170" fontId="4" fillId="4" borderId="2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0" fillId="0" borderId="0" xfId="0" applyAlignment="1">
      <alignment vertical="top" wrapText="1"/>
    </xf>
    <xf numFmtId="0" fontId="4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vertical="center"/>
    </xf>
    <xf numFmtId="169" fontId="4" fillId="3" borderId="4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4" fillId="2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2" fontId="4" fillId="2" borderId="0" xfId="0" applyNumberFormat="1" applyFont="1" applyFill="1" applyAlignment="1">
      <alignment horizontal="right" vertical="center"/>
    </xf>
    <xf numFmtId="0" fontId="9" fillId="2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/>
    <xf numFmtId="0" fontId="6" fillId="0" borderId="0" xfId="0" applyFont="1"/>
    <xf numFmtId="0" fontId="0" fillId="2" borderId="0" xfId="0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9" fillId="0" borderId="0" xfId="0" applyFont="1"/>
    <xf numFmtId="0" fontId="12" fillId="0" borderId="0" xfId="0" applyFont="1" applyFill="1"/>
    <xf numFmtId="0" fontId="12" fillId="2" borderId="0" xfId="0" applyFont="1" applyFill="1"/>
    <xf numFmtId="0" fontId="12" fillId="0" borderId="0" xfId="0" applyFont="1"/>
    <xf numFmtId="4" fontId="12" fillId="0" borderId="0" xfId="0" applyNumberFormat="1" applyFont="1" applyFill="1" applyBorder="1"/>
    <xf numFmtId="0" fontId="12" fillId="2" borderId="0" xfId="0" applyFont="1" applyFill="1" applyBorder="1" applyAlignment="1">
      <alignment horizontal="left" indent="1"/>
    </xf>
    <xf numFmtId="3" fontId="12" fillId="2" borderId="2" xfId="0" applyNumberFormat="1" applyFont="1" applyFill="1" applyBorder="1" applyAlignment="1">
      <alignment horizontal="center"/>
    </xf>
    <xf numFmtId="3" fontId="12" fillId="2" borderId="0" xfId="0" applyNumberFormat="1" applyFont="1" applyFill="1" applyBorder="1"/>
    <xf numFmtId="0" fontId="0" fillId="0" borderId="0" xfId="0" applyFill="1"/>
    <xf numFmtId="0" fontId="0" fillId="0" borderId="0" xfId="0" applyFill="1" applyBorder="1"/>
    <xf numFmtId="0" fontId="2" fillId="2" borderId="0" xfId="0" applyFont="1" applyFill="1"/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0" borderId="2" xfId="0" quotePrefix="1" applyFont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14" fontId="2" fillId="0" borderId="2" xfId="0" quotePrefix="1" applyNumberFormat="1" applyFont="1" applyBorder="1" applyAlignment="1">
      <alignment vertical="top" wrapText="1"/>
    </xf>
    <xf numFmtId="0" fontId="2" fillId="2" borderId="2" xfId="0" quotePrefix="1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168" fontId="2" fillId="2" borderId="2" xfId="5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top"/>
    </xf>
    <xf numFmtId="0" fontId="10" fillId="2" borderId="0" xfId="0" applyFont="1" applyFill="1"/>
    <xf numFmtId="16" fontId="2" fillId="0" borderId="2" xfId="0" quotePrefix="1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9" fontId="5" fillId="4" borderId="2" xfId="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167" fontId="5" fillId="4" borderId="2" xfId="0" applyNumberFormat="1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vertical="center" wrapText="1"/>
    </xf>
    <xf numFmtId="167" fontId="5" fillId="4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4" fontId="2" fillId="0" borderId="2" xfId="0" quotePrefix="1" applyNumberFormat="1" applyFont="1" applyBorder="1" applyAlignment="1">
      <alignment vertical="center" wrapText="1"/>
    </xf>
    <xf numFmtId="0" fontId="2" fillId="2" borderId="2" xfId="0" quotePrefix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2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12" fillId="3" borderId="6" xfId="0" applyFont="1" applyFill="1" applyBorder="1"/>
    <xf numFmtId="0" fontId="9" fillId="2" borderId="1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7" fontId="5" fillId="3" borderId="11" xfId="0" applyNumberFormat="1" applyFont="1" applyFill="1" applyBorder="1" applyAlignment="1">
      <alignment horizontal="center" vertical="center"/>
    </xf>
    <xf numFmtId="167" fontId="5" fillId="4" borderId="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" fillId="2" borderId="0" xfId="0" applyFont="1" applyFill="1" applyAlignment="1">
      <alignment horizontal="right"/>
    </xf>
    <xf numFmtId="8" fontId="12" fillId="4" borderId="2" xfId="0" applyNumberFormat="1" applyFont="1" applyFill="1" applyBorder="1" applyAlignment="1">
      <alignment horizontal="right"/>
    </xf>
    <xf numFmtId="8" fontId="12" fillId="2" borderId="12" xfId="0" applyNumberFormat="1" applyFont="1" applyFill="1" applyBorder="1" applyAlignment="1">
      <alignment horizontal="right"/>
    </xf>
    <xf numFmtId="4" fontId="2" fillId="0" borderId="2" xfId="0" applyNumberFormat="1" applyFont="1" applyBorder="1" applyAlignment="1">
      <alignment horizontal="right" vertical="top" wrapText="1"/>
    </xf>
    <xf numFmtId="0" fontId="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/>
    </xf>
    <xf numFmtId="8" fontId="12" fillId="0" borderId="2" xfId="0" applyNumberFormat="1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3" fontId="2" fillId="0" borderId="2" xfId="0" applyNumberFormat="1" applyFont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right" vertical="center"/>
    </xf>
    <xf numFmtId="0" fontId="12" fillId="3" borderId="11" xfId="0" applyFont="1" applyFill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center" vertical="top" wrapText="1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2" fontId="2" fillId="4" borderId="2" xfId="0" applyNumberFormat="1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vertical="center"/>
    </xf>
    <xf numFmtId="9" fontId="13" fillId="2" borderId="0" xfId="5" applyNumberFormat="1" applyFont="1" applyFill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5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center" wrapText="1"/>
    </xf>
    <xf numFmtId="172" fontId="0" fillId="0" borderId="0" xfId="0" applyNumberFormat="1"/>
    <xf numFmtId="3" fontId="2" fillId="4" borderId="2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4" fontId="2" fillId="2" borderId="0" xfId="0" applyNumberFormat="1" applyFont="1" applyFill="1" applyBorder="1"/>
    <xf numFmtId="0" fontId="9" fillId="2" borderId="24" xfId="0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/>
    </xf>
    <xf numFmtId="167" fontId="6" fillId="3" borderId="11" xfId="0" applyNumberFormat="1" applyFont="1" applyFill="1" applyBorder="1" applyAlignment="1">
      <alignment horizontal="center"/>
    </xf>
    <xf numFmtId="9" fontId="2" fillId="2" borderId="2" xfId="5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0" xfId="0" quotePrefix="1" applyFont="1" applyBorder="1" applyAlignment="1">
      <alignment vertical="top" wrapText="1"/>
    </xf>
    <xf numFmtId="0" fontId="13" fillId="2" borderId="0" xfId="0" applyFont="1" applyFill="1" applyAlignment="1">
      <alignment vertical="center"/>
    </xf>
    <xf numFmtId="2" fontId="13" fillId="2" borderId="0" xfId="0" applyNumberFormat="1" applyFont="1" applyFill="1" applyBorder="1" applyAlignment="1">
      <alignment horizontal="center" vertical="center"/>
    </xf>
    <xf numFmtId="9" fontId="13" fillId="2" borderId="0" xfId="5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/>
    </xf>
    <xf numFmtId="167" fontId="6" fillId="3" borderId="6" xfId="0" applyNumberFormat="1" applyFont="1" applyFill="1" applyBorder="1" applyAlignment="1">
      <alignment horizontal="center"/>
    </xf>
    <xf numFmtId="0" fontId="2" fillId="2" borderId="0" xfId="0" quotePrefix="1" applyFont="1" applyFill="1" applyBorder="1" applyAlignment="1">
      <alignment vertical="center" wrapText="1"/>
    </xf>
    <xf numFmtId="0" fontId="5" fillId="2" borderId="0" xfId="0" applyNumberFormat="1" applyFont="1" applyFill="1" applyBorder="1" applyAlignment="1" applyProtection="1">
      <alignment horizontal="left"/>
    </xf>
    <xf numFmtId="0" fontId="5" fillId="2" borderId="19" xfId="0" applyNumberFormat="1" applyFont="1" applyFill="1" applyBorder="1" applyAlignment="1" applyProtection="1">
      <alignment horizontal="left"/>
    </xf>
    <xf numFmtId="0" fontId="18" fillId="0" borderId="2" xfId="0" applyFont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 vertical="center"/>
    </xf>
    <xf numFmtId="0" fontId="18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172" fontId="7" fillId="7" borderId="2" xfId="0" applyNumberFormat="1" applyFont="1" applyFill="1" applyBorder="1" applyAlignment="1">
      <alignment horizontal="center" vertical="center"/>
    </xf>
    <xf numFmtId="9" fontId="3" fillId="7" borderId="2" xfId="0" applyNumberFormat="1" applyFont="1" applyFill="1" applyBorder="1" applyAlignment="1">
      <alignment vertical="center"/>
    </xf>
    <xf numFmtId="172" fontId="7" fillId="0" borderId="2" xfId="0" applyNumberFormat="1" applyFont="1" applyBorder="1" applyAlignment="1">
      <alignment vertical="center"/>
    </xf>
    <xf numFmtId="167" fontId="9" fillId="0" borderId="0" xfId="0" applyNumberFormat="1" applyFont="1"/>
    <xf numFmtId="173" fontId="3" fillId="8" borderId="2" xfId="0" applyNumberFormat="1" applyFont="1" applyFill="1" applyBorder="1" applyAlignment="1">
      <alignment vertical="center"/>
    </xf>
    <xf numFmtId="0" fontId="18" fillId="9" borderId="2" xfId="0" applyFont="1" applyFill="1" applyBorder="1" applyAlignment="1">
      <alignment vertical="center"/>
    </xf>
    <xf numFmtId="0" fontId="7" fillId="9" borderId="2" xfId="0" applyFont="1" applyFill="1" applyBorder="1" applyAlignment="1">
      <alignment vertical="center"/>
    </xf>
    <xf numFmtId="0" fontId="7" fillId="9" borderId="2" xfId="0" applyFont="1" applyFill="1" applyBorder="1" applyAlignment="1">
      <alignment horizontal="center" vertical="center"/>
    </xf>
    <xf numFmtId="172" fontId="7" fillId="9" borderId="2" xfId="0" applyNumberFormat="1" applyFont="1" applyFill="1" applyBorder="1" applyAlignment="1">
      <alignment horizontal="center" vertical="center"/>
    </xf>
    <xf numFmtId="9" fontId="3" fillId="9" borderId="2" xfId="0" applyNumberFormat="1" applyFont="1" applyFill="1" applyBorder="1" applyAlignment="1">
      <alignment vertical="center"/>
    </xf>
    <xf numFmtId="173" fontId="3" fillId="10" borderId="2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20" fillId="0" borderId="1" xfId="0" applyFont="1" applyBorder="1"/>
    <xf numFmtId="0" fontId="9" fillId="0" borderId="19" xfId="0" applyFont="1" applyBorder="1"/>
    <xf numFmtId="0" fontId="9" fillId="0" borderId="1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7" fontId="3" fillId="0" borderId="2" xfId="0" applyNumberFormat="1" applyFont="1" applyBorder="1"/>
    <xf numFmtId="0" fontId="7" fillId="0" borderId="2" xfId="0" applyFont="1" applyBorder="1"/>
    <xf numFmtId="0" fontId="9" fillId="0" borderId="0" xfId="0" applyFont="1" applyBorder="1"/>
    <xf numFmtId="174" fontId="3" fillId="0" borderId="19" xfId="0" applyNumberFormat="1" applyFont="1" applyBorder="1"/>
    <xf numFmtId="172" fontId="20" fillId="0" borderId="3" xfId="0" applyNumberFormat="1" applyFont="1" applyBorder="1"/>
    <xf numFmtId="0" fontId="7" fillId="0" borderId="1" xfId="0" quotePrefix="1" applyFont="1" applyBorder="1"/>
    <xf numFmtId="0" fontId="7" fillId="0" borderId="19" xfId="0" applyFont="1" applyBorder="1"/>
    <xf numFmtId="167" fontId="7" fillId="0" borderId="19" xfId="0" applyNumberFormat="1" applyFont="1" applyBorder="1"/>
    <xf numFmtId="172" fontId="7" fillId="7" borderId="2" xfId="0" applyNumberFormat="1" applyFont="1" applyFill="1" applyBorder="1"/>
    <xf numFmtId="172" fontId="20" fillId="0" borderId="2" xfId="0" applyNumberFormat="1" applyFont="1" applyBorder="1"/>
    <xf numFmtId="9" fontId="7" fillId="7" borderId="2" xfId="0" applyNumberFormat="1" applyFont="1" applyFill="1" applyBorder="1"/>
    <xf numFmtId="172" fontId="7" fillId="0" borderId="2" xfId="0" applyNumberFormat="1" applyFont="1" applyFill="1" applyBorder="1"/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Fill="1"/>
    <xf numFmtId="2" fontId="2" fillId="0" borderId="2" xfId="0" applyNumberFormat="1" applyFont="1" applyFill="1" applyBorder="1" applyAlignment="1">
      <alignment horizontal="center" vertical="top"/>
    </xf>
    <xf numFmtId="2" fontId="13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167" fontId="6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" fillId="2" borderId="0" xfId="7" applyFont="1" applyFill="1" applyBorder="1" applyAlignment="1">
      <alignment vertical="center"/>
    </xf>
    <xf numFmtId="2" fontId="17" fillId="11" borderId="5" xfId="0" applyNumberFormat="1" applyFont="1" applyFill="1" applyBorder="1" applyAlignment="1">
      <alignment horizontal="right"/>
    </xf>
    <xf numFmtId="0" fontId="6" fillId="11" borderId="6" xfId="0" applyFont="1" applyFill="1" applyBorder="1"/>
    <xf numFmtId="0" fontId="2" fillId="2" borderId="22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3" fillId="0" borderId="22" xfId="0" applyFont="1" applyBorder="1" applyAlignment="1">
      <alignment vertical="center" wrapText="1"/>
    </xf>
    <xf numFmtId="0" fontId="5" fillId="2" borderId="0" xfId="7" applyFont="1" applyFill="1" applyBorder="1" applyAlignment="1">
      <alignment vertical="center"/>
    </xf>
    <xf numFmtId="0" fontId="2" fillId="2" borderId="0" xfId="7" applyFont="1" applyFill="1" applyAlignment="1">
      <alignment vertical="center"/>
    </xf>
    <xf numFmtId="0" fontId="2" fillId="2" borderId="22" xfId="7" applyFont="1" applyFill="1" applyBorder="1" applyAlignment="1">
      <alignment vertical="center"/>
    </xf>
    <xf numFmtId="0" fontId="21" fillId="0" borderId="0" xfId="7" applyFont="1" applyAlignment="1">
      <alignment horizontal="right" vertical="center"/>
    </xf>
    <xf numFmtId="1" fontId="7" fillId="7" borderId="2" xfId="0" applyNumberFormat="1" applyFont="1" applyFill="1" applyBorder="1" applyAlignment="1">
      <alignment horizontal="center" vertical="center"/>
    </xf>
    <xf numFmtId="1" fontId="7" fillId="9" borderId="2" xfId="0" applyNumberFormat="1" applyFont="1" applyFill="1" applyBorder="1" applyAlignment="1">
      <alignment horizontal="center" vertical="center"/>
    </xf>
    <xf numFmtId="1" fontId="3" fillId="8" borderId="2" xfId="0" applyNumberFormat="1" applyFont="1" applyFill="1" applyBorder="1" applyAlignment="1">
      <alignment vertical="center"/>
    </xf>
    <xf numFmtId="1" fontId="3" fillId="10" borderId="2" xfId="0" applyNumberFormat="1" applyFont="1" applyFill="1" applyBorder="1" applyAlignment="1">
      <alignment vertical="center"/>
    </xf>
    <xf numFmtId="0" fontId="0" fillId="0" borderId="0" xfId="0" applyBorder="1"/>
    <xf numFmtId="0" fontId="9" fillId="0" borderId="2" xfId="0" applyFont="1" applyBorder="1" applyAlignment="1">
      <alignment vertical="center"/>
    </xf>
    <xf numFmtId="0" fontId="2" fillId="2" borderId="0" xfId="0" applyFont="1" applyFill="1" applyAlignment="1">
      <alignment horizontal="left"/>
    </xf>
    <xf numFmtId="0" fontId="12" fillId="0" borderId="5" xfId="0" applyFont="1" applyFill="1" applyBorder="1"/>
    <xf numFmtId="0" fontId="12" fillId="0" borderId="6" xfId="0" applyFont="1" applyFill="1" applyBorder="1"/>
    <xf numFmtId="0" fontId="10" fillId="2" borderId="0" xfId="7" applyFont="1" applyFill="1"/>
    <xf numFmtId="0" fontId="12" fillId="2" borderId="0" xfId="7" applyFont="1" applyFill="1"/>
    <xf numFmtId="0" fontId="12" fillId="0" borderId="0" xfId="7" applyFont="1"/>
    <xf numFmtId="0" fontId="6" fillId="2" borderId="0" xfId="7" applyFont="1" applyFill="1"/>
    <xf numFmtId="0" fontId="6" fillId="0" borderId="0" xfId="7" applyFont="1"/>
    <xf numFmtId="0" fontId="2" fillId="0" borderId="0" xfId="7" applyFont="1"/>
    <xf numFmtId="0" fontId="9" fillId="0" borderId="0" xfId="7"/>
    <xf numFmtId="0" fontId="13" fillId="0" borderId="12" xfId="7" applyFont="1" applyBorder="1" applyAlignment="1">
      <alignment horizontal="center"/>
    </xf>
    <xf numFmtId="0" fontId="2" fillId="0" borderId="10" xfId="7" applyFont="1" applyBorder="1"/>
    <xf numFmtId="167" fontId="2" fillId="0" borderId="10" xfId="7" applyNumberFormat="1" applyFont="1" applyBorder="1"/>
    <xf numFmtId="43" fontId="2" fillId="0" borderId="10" xfId="4" applyFont="1" applyBorder="1"/>
    <xf numFmtId="0" fontId="2" fillId="0" borderId="0" xfId="7" applyFont="1" applyAlignment="1">
      <alignment horizontal="center"/>
    </xf>
    <xf numFmtId="176" fontId="2" fillId="0" borderId="0" xfId="7" applyNumberFormat="1" applyFont="1"/>
    <xf numFmtId="0" fontId="13" fillId="0" borderId="1" xfId="7" applyFont="1" applyBorder="1" applyAlignment="1">
      <alignment horizontal="left" vertical="center"/>
    </xf>
    <xf numFmtId="0" fontId="13" fillId="0" borderId="19" xfId="7" applyFont="1" applyBorder="1" applyAlignment="1">
      <alignment horizontal="left" vertical="center"/>
    </xf>
    <xf numFmtId="0" fontId="13" fillId="0" borderId="0" xfId="7" applyFont="1" applyFill="1" applyBorder="1" applyAlignment="1">
      <alignment horizontal="left" vertical="center"/>
    </xf>
    <xf numFmtId="176" fontId="13" fillId="0" borderId="2" xfId="7" applyNumberFormat="1" applyFont="1" applyBorder="1" applyAlignment="1">
      <alignment horizontal="right" vertical="center"/>
    </xf>
    <xf numFmtId="0" fontId="5" fillId="0" borderId="0" xfId="7" applyFont="1"/>
    <xf numFmtId="0" fontId="4" fillId="0" borderId="0" xfId="7" applyFont="1"/>
    <xf numFmtId="0" fontId="2" fillId="0" borderId="0" xfId="7" applyFont="1" applyFill="1" applyBorder="1"/>
    <xf numFmtId="0" fontId="9" fillId="0" borderId="0" xfId="7" applyFont="1"/>
    <xf numFmtId="43" fontId="2" fillId="0" borderId="0" xfId="4" applyFont="1" applyBorder="1"/>
    <xf numFmtId="0" fontId="13" fillId="0" borderId="0" xfId="7" applyFont="1" applyBorder="1" applyAlignment="1">
      <alignment horizontal="center"/>
    </xf>
    <xf numFmtId="0" fontId="13" fillId="0" borderId="3" xfId="7" applyFont="1" applyBorder="1" applyAlignment="1">
      <alignment horizontal="left" vertical="center"/>
    </xf>
    <xf numFmtId="0" fontId="2" fillId="7" borderId="2" xfId="0" applyFont="1" applyFill="1" applyBorder="1" applyAlignment="1">
      <alignment vertical="center" wrapText="1"/>
    </xf>
    <xf numFmtId="9" fontId="2" fillId="7" borderId="2" xfId="5" applyFont="1" applyFill="1" applyBorder="1" applyAlignment="1">
      <alignment horizontal="left" vertical="center" wrapText="1"/>
    </xf>
    <xf numFmtId="170" fontId="6" fillId="12" borderId="31" xfId="0" applyNumberFormat="1" applyFont="1" applyFill="1" applyBorder="1" applyAlignment="1">
      <alignment horizontal="center"/>
    </xf>
    <xf numFmtId="9" fontId="2" fillId="7" borderId="10" xfId="5" applyFont="1" applyFill="1" applyBorder="1" applyAlignment="1">
      <alignment horizontal="left" vertical="center" wrapText="1"/>
    </xf>
    <xf numFmtId="2" fontId="10" fillId="12" borderId="31" xfId="0" applyNumberFormat="1" applyFont="1" applyFill="1" applyBorder="1" applyAlignment="1">
      <alignment horizontal="center"/>
    </xf>
    <xf numFmtId="170" fontId="4" fillId="8" borderId="2" xfId="0" applyNumberFormat="1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6" fillId="13" borderId="0" xfId="0" applyFont="1" applyFill="1" applyAlignment="1">
      <alignment vertical="top"/>
    </xf>
    <xf numFmtId="8" fontId="6" fillId="12" borderId="31" xfId="0" applyNumberFormat="1" applyFont="1" applyFill="1" applyBorder="1" applyAlignment="1">
      <alignment horizontal="right" vertical="center"/>
    </xf>
    <xf numFmtId="0" fontId="6" fillId="12" borderId="5" xfId="0" applyFont="1" applyFill="1" applyBorder="1" applyAlignment="1">
      <alignment horizontal="left" vertical="center"/>
    </xf>
    <xf numFmtId="0" fontId="12" fillId="12" borderId="11" xfId="0" applyFont="1" applyFill="1" applyBorder="1" applyAlignment="1">
      <alignment vertical="center"/>
    </xf>
    <xf numFmtId="3" fontId="5" fillId="13" borderId="2" xfId="0" applyNumberFormat="1" applyFont="1" applyFill="1" applyBorder="1" applyAlignment="1">
      <alignment horizontal="right" vertical="center"/>
    </xf>
    <xf numFmtId="9" fontId="2" fillId="13" borderId="2" xfId="5" applyFont="1" applyFill="1" applyBorder="1" applyAlignment="1">
      <alignment horizontal="center" vertical="top" wrapText="1"/>
    </xf>
    <xf numFmtId="2" fontId="2" fillId="13" borderId="2" xfId="0" applyNumberFormat="1" applyFont="1" applyFill="1" applyBorder="1" applyAlignment="1">
      <alignment horizontal="center" vertical="top" wrapText="1"/>
    </xf>
    <xf numFmtId="0" fontId="18" fillId="12" borderId="1" xfId="0" applyFont="1" applyFill="1" applyBorder="1"/>
    <xf numFmtId="0" fontId="18" fillId="12" borderId="19" xfId="0" applyFont="1" applyFill="1" applyBorder="1"/>
    <xf numFmtId="172" fontId="18" fillId="12" borderId="2" xfId="0" applyNumberFormat="1" applyFont="1" applyFill="1" applyBorder="1"/>
    <xf numFmtId="2" fontId="6" fillId="7" borderId="1" xfId="0" applyNumberFormat="1" applyFont="1" applyFill="1" applyBorder="1" applyAlignment="1">
      <alignment horizontal="left"/>
    </xf>
    <xf numFmtId="2" fontId="6" fillId="7" borderId="19" xfId="0" applyNumberFormat="1" applyFont="1" applyFill="1" applyBorder="1" applyAlignment="1">
      <alignment horizontal="left"/>
    </xf>
    <xf numFmtId="2" fontId="6" fillId="7" borderId="3" xfId="0" applyNumberFormat="1" applyFont="1" applyFill="1" applyBorder="1" applyAlignment="1">
      <alignment horizontal="left"/>
    </xf>
    <xf numFmtId="168" fontId="24" fillId="0" borderId="0" xfId="5" applyNumberFormat="1" applyFont="1" applyBorder="1" applyAlignment="1">
      <alignment vertical="center" wrapText="1"/>
    </xf>
    <xf numFmtId="9" fontId="13" fillId="2" borderId="2" xfId="5" applyFont="1" applyFill="1" applyBorder="1" applyAlignment="1">
      <alignment horizontal="center" vertical="center"/>
    </xf>
    <xf numFmtId="164" fontId="2" fillId="14" borderId="2" xfId="3" applyNumberFormat="1" applyFont="1" applyFill="1" applyBorder="1" applyAlignment="1">
      <alignment vertical="center" wrapText="1"/>
    </xf>
    <xf numFmtId="164" fontId="5" fillId="14" borderId="2" xfId="3" applyNumberFormat="1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2" fontId="6" fillId="15" borderId="11" xfId="0" applyNumberFormat="1" applyFont="1" applyFill="1" applyBorder="1"/>
    <xf numFmtId="2" fontId="2" fillId="13" borderId="2" xfId="0" applyNumberFormat="1" applyFont="1" applyFill="1" applyBorder="1" applyAlignment="1">
      <alignment horizontal="center" vertical="top"/>
    </xf>
    <xf numFmtId="167" fontId="6" fillId="16" borderId="11" xfId="0" applyNumberFormat="1" applyFont="1" applyFill="1" applyBorder="1" applyAlignment="1">
      <alignment horizontal="center"/>
    </xf>
    <xf numFmtId="167" fontId="2" fillId="8" borderId="2" xfId="0" applyNumberFormat="1" applyFont="1" applyFill="1" applyBorder="1" applyAlignment="1">
      <alignment horizontal="center" vertical="top"/>
    </xf>
    <xf numFmtId="0" fontId="9" fillId="13" borderId="31" xfId="0" applyFont="1" applyFill="1" applyBorder="1" applyAlignment="1">
      <alignment vertical="top" wrapText="1"/>
    </xf>
    <xf numFmtId="0" fontId="4" fillId="0" borderId="0" xfId="0" applyFont="1" applyFill="1" applyBorder="1"/>
    <xf numFmtId="9" fontId="0" fillId="0" borderId="0" xfId="0" applyNumberFormat="1" applyFill="1" applyBorder="1"/>
    <xf numFmtId="172" fontId="0" fillId="0" borderId="0" xfId="0" applyNumberFormat="1" applyFill="1" applyBorder="1"/>
    <xf numFmtId="172" fontId="18" fillId="0" borderId="0" xfId="0" applyNumberFormat="1" applyFont="1" applyBorder="1"/>
    <xf numFmtId="0" fontId="7" fillId="0" borderId="0" xfId="0" applyFont="1" applyBorder="1"/>
    <xf numFmtId="172" fontId="7" fillId="0" borderId="0" xfId="0" applyNumberFormat="1" applyFont="1" applyBorder="1"/>
    <xf numFmtId="0" fontId="5" fillId="0" borderId="0" xfId="0" applyFont="1" applyFill="1"/>
    <xf numFmtId="0" fontId="2" fillId="0" borderId="0" xfId="0" applyFont="1" applyFill="1" applyAlignment="1">
      <alignment vertical="top" wrapText="1"/>
    </xf>
    <xf numFmtId="2" fontId="2" fillId="0" borderId="0" xfId="0" applyNumberFormat="1" applyFont="1" applyFill="1" applyAlignment="1">
      <alignment vertical="top" wrapText="1"/>
    </xf>
    <xf numFmtId="2" fontId="5" fillId="0" borderId="0" xfId="0" applyNumberFormat="1" applyFont="1" applyFill="1"/>
    <xf numFmtId="165" fontId="12" fillId="0" borderId="0" xfId="0" applyNumberFormat="1" applyFont="1" applyFill="1"/>
    <xf numFmtId="164" fontId="5" fillId="0" borderId="0" xfId="0" applyNumberFormat="1" applyFont="1" applyBorder="1" applyAlignment="1">
      <alignment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0" fillId="0" borderId="0" xfId="0" applyFont="1"/>
    <xf numFmtId="0" fontId="4" fillId="7" borderId="3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12" fillId="0" borderId="0" xfId="0" applyFont="1" applyBorder="1"/>
    <xf numFmtId="2" fontId="2" fillId="0" borderId="0" xfId="0" applyNumberFormat="1" applyFont="1" applyBorder="1"/>
    <xf numFmtId="0" fontId="2" fillId="0" borderId="0" xfId="0" applyFont="1" applyBorder="1" applyAlignment="1">
      <alignment vertical="center"/>
    </xf>
    <xf numFmtId="0" fontId="6" fillId="0" borderId="0" xfId="0" applyFont="1" applyFill="1"/>
    <xf numFmtId="0" fontId="4" fillId="0" borderId="0" xfId="0" applyFont="1" applyFill="1"/>
    <xf numFmtId="172" fontId="0" fillId="0" borderId="0" xfId="0" applyNumberFormat="1" applyFill="1"/>
    <xf numFmtId="0" fontId="2" fillId="0" borderId="0" xfId="0" applyFont="1" applyAlignment="1">
      <alignment vertical="top"/>
    </xf>
    <xf numFmtId="0" fontId="4" fillId="7" borderId="1" xfId="0" applyFont="1" applyFill="1" applyBorder="1" applyAlignment="1">
      <alignment vertical="center"/>
    </xf>
    <xf numFmtId="43" fontId="4" fillId="7" borderId="2" xfId="4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7" applyFont="1" applyBorder="1"/>
    <xf numFmtId="167" fontId="2" fillId="0" borderId="0" xfId="7" applyNumberFormat="1" applyFont="1" applyBorder="1"/>
    <xf numFmtId="0" fontId="22" fillId="2" borderId="2" xfId="0" quotePrefix="1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top" wrapText="1"/>
    </xf>
    <xf numFmtId="0" fontId="22" fillId="2" borderId="0" xfId="0" applyFont="1" applyFill="1"/>
    <xf numFmtId="2" fontId="22" fillId="0" borderId="2" xfId="0" applyNumberFormat="1" applyFont="1" applyFill="1" applyBorder="1" applyAlignment="1">
      <alignment horizontal="center" vertical="top"/>
    </xf>
    <xf numFmtId="9" fontId="22" fillId="2" borderId="2" xfId="5" applyFont="1" applyFill="1" applyBorder="1" applyAlignment="1">
      <alignment horizontal="center" vertical="top"/>
    </xf>
    <xf numFmtId="167" fontId="22" fillId="8" borderId="2" xfId="0" applyNumberFormat="1" applyFont="1" applyFill="1" applyBorder="1" applyAlignment="1">
      <alignment horizontal="center" vertical="top"/>
    </xf>
    <xf numFmtId="2" fontId="22" fillId="13" borderId="2" xfId="0" applyNumberFormat="1" applyFont="1" applyFill="1" applyBorder="1" applyAlignment="1">
      <alignment horizontal="center" vertical="top"/>
    </xf>
    <xf numFmtId="0" fontId="24" fillId="0" borderId="0" xfId="0" applyFont="1" applyBorder="1" applyAlignment="1">
      <alignment vertical="center" wrapText="1"/>
    </xf>
    <xf numFmtId="0" fontId="1" fillId="0" borderId="2" xfId="0" applyFont="1" applyBorder="1"/>
    <xf numFmtId="0" fontId="9" fillId="0" borderId="2" xfId="0" applyFont="1" applyFill="1" applyBorder="1" applyAlignment="1">
      <alignment vertical="center"/>
    </xf>
    <xf numFmtId="175" fontId="9" fillId="0" borderId="2" xfId="0" applyNumberFormat="1" applyFont="1" applyFill="1" applyBorder="1" applyAlignment="1">
      <alignment vertical="center"/>
    </xf>
    <xf numFmtId="0" fontId="2" fillId="0" borderId="2" xfId="0" quotePrefix="1" applyFont="1" applyFill="1" applyBorder="1" applyAlignment="1">
      <alignment vertical="top" wrapText="1"/>
    </xf>
    <xf numFmtId="0" fontId="2" fillId="0" borderId="23" xfId="0" applyFont="1" applyBorder="1"/>
    <xf numFmtId="167" fontId="2" fillId="17" borderId="2" xfId="0" applyNumberFormat="1" applyFont="1" applyFill="1" applyBorder="1" applyAlignment="1">
      <alignment horizontal="center" vertical="top"/>
    </xf>
    <xf numFmtId="0" fontId="9" fillId="0" borderId="2" xfId="0" quotePrefix="1" applyFont="1" applyFill="1" applyBorder="1" applyAlignment="1">
      <alignment vertical="top" wrapText="1"/>
    </xf>
    <xf numFmtId="0" fontId="1" fillId="0" borderId="0" xfId="0" applyFont="1" applyFill="1"/>
    <xf numFmtId="167" fontId="2" fillId="0" borderId="2" xfId="0" applyNumberFormat="1" applyFont="1" applyFill="1" applyBorder="1" applyAlignment="1">
      <alignment horizontal="center" vertical="top"/>
    </xf>
    <xf numFmtId="0" fontId="1" fillId="0" borderId="2" xfId="0" quotePrefix="1" applyFont="1" applyFill="1" applyBorder="1" applyAlignment="1">
      <alignment vertical="top" wrapText="1"/>
    </xf>
    <xf numFmtId="0" fontId="1" fillId="0" borderId="2" xfId="0" applyFont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0" fontId="1" fillId="4" borderId="32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7" borderId="2" xfId="0" applyFont="1" applyFill="1" applyBorder="1" applyAlignment="1">
      <alignment horizontal="left" vertical="top" wrapText="1"/>
    </xf>
    <xf numFmtId="0" fontId="1" fillId="0" borderId="2" xfId="7" applyFont="1" applyBorder="1" applyAlignment="1">
      <alignment vertical="center"/>
    </xf>
    <xf numFmtId="43" fontId="4" fillId="7" borderId="2" xfId="4" applyFont="1" applyFill="1" applyBorder="1" applyAlignment="1">
      <alignment vertical="center"/>
    </xf>
    <xf numFmtId="0" fontId="1" fillId="0" borderId="2" xfId="7" applyFont="1" applyBorder="1" applyAlignment="1">
      <alignment horizontal="left" vertical="center"/>
    </xf>
    <xf numFmtId="0" fontId="1" fillId="0" borderId="0" xfId="0" applyFont="1" applyFill="1" applyBorder="1"/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9" fontId="0" fillId="0" borderId="20" xfId="0" applyNumberFormat="1" applyFill="1" applyBorder="1" applyAlignment="1">
      <alignment horizontal="center"/>
    </xf>
    <xf numFmtId="177" fontId="4" fillId="13" borderId="23" xfId="0" applyNumberFormat="1" applyFont="1" applyFill="1" applyBorder="1" applyAlignment="1">
      <alignment horizontal="center"/>
    </xf>
    <xf numFmtId="0" fontId="0" fillId="0" borderId="22" xfId="0" quotePrefix="1" applyFill="1" applyBorder="1"/>
    <xf numFmtId="0" fontId="0" fillId="0" borderId="22" xfId="0" applyFill="1" applyBorder="1"/>
    <xf numFmtId="9" fontId="0" fillId="4" borderId="21" xfId="0" applyNumberFormat="1" applyFill="1" applyBorder="1" applyAlignment="1">
      <alignment horizontal="center"/>
    </xf>
    <xf numFmtId="177" fontId="0" fillId="0" borderId="22" xfId="0" applyNumberFormat="1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177" fontId="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quotePrefix="1" applyFill="1"/>
    <xf numFmtId="9" fontId="0" fillId="4" borderId="57" xfId="0" applyNumberFormat="1" applyFill="1" applyBorder="1" applyAlignment="1">
      <alignment horizontal="center"/>
    </xf>
    <xf numFmtId="177" fontId="0" fillId="0" borderId="0" xfId="0" applyNumberFormat="1" applyFill="1" applyBorder="1" applyAlignment="1">
      <alignment horizontal="center"/>
    </xf>
    <xf numFmtId="0" fontId="0" fillId="0" borderId="20" xfId="0" applyFill="1" applyBorder="1"/>
    <xf numFmtId="0" fontId="0" fillId="0" borderId="0" xfId="0" applyFill="1" applyAlignment="1">
      <alignment horizontal="center"/>
    </xf>
    <xf numFmtId="0" fontId="0" fillId="0" borderId="21" xfId="0" applyFill="1" applyBorder="1"/>
    <xf numFmtId="177" fontId="6" fillId="12" borderId="31" xfId="0" applyNumberFormat="1" applyFont="1" applyFill="1" applyBorder="1" applyAlignment="1">
      <alignment horizontal="center"/>
    </xf>
    <xf numFmtId="0" fontId="26" fillId="0" borderId="0" xfId="0" applyFont="1" applyFill="1"/>
    <xf numFmtId="0" fontId="1" fillId="0" borderId="7" xfId="0" applyFont="1" applyFill="1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9" fontId="0" fillId="4" borderId="2" xfId="0" applyNumberFormat="1" applyFill="1" applyBorder="1" applyAlignment="1">
      <alignment horizontal="center"/>
    </xf>
    <xf numFmtId="177" fontId="0" fillId="13" borderId="2" xfId="0" applyNumberFormat="1" applyFill="1" applyBorder="1" applyAlignment="1">
      <alignment horizontal="center"/>
    </xf>
    <xf numFmtId="0" fontId="0" fillId="0" borderId="22" xfId="0" applyFill="1" applyBorder="1" applyAlignment="1">
      <alignment horizontal="left" indent="1"/>
    </xf>
    <xf numFmtId="9" fontId="0" fillId="0" borderId="0" xfId="0" applyNumberFormat="1" applyFill="1" applyAlignment="1">
      <alignment horizontal="center"/>
    </xf>
    <xf numFmtId="177" fontId="4" fillId="0" borderId="0" xfId="0" applyNumberFormat="1" applyFont="1" applyFill="1" applyAlignment="1">
      <alignment horizontal="center"/>
    </xf>
    <xf numFmtId="178" fontId="2" fillId="4" borderId="2" xfId="0" applyNumberFormat="1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vertical="center" wrapText="1"/>
    </xf>
    <xf numFmtId="0" fontId="4" fillId="7" borderId="3" xfId="0" applyFont="1" applyFill="1" applyBorder="1" applyAlignment="1">
      <alignment vertical="center" wrapText="1"/>
    </xf>
    <xf numFmtId="2" fontId="6" fillId="4" borderId="2" xfId="0" applyNumberFormat="1" applyFont="1" applyFill="1" applyBorder="1" applyAlignment="1">
      <alignment horizontal="left"/>
    </xf>
    <xf numFmtId="0" fontId="5" fillId="2" borderId="34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" fillId="7" borderId="1" xfId="5" applyNumberFormat="1" applyFont="1" applyFill="1" applyBorder="1" applyAlignment="1">
      <alignment horizontal="center" vertical="top" wrapText="1"/>
    </xf>
    <xf numFmtId="0" fontId="2" fillId="7" borderId="3" xfId="5" applyNumberFormat="1" applyFont="1" applyFill="1" applyBorder="1" applyAlignment="1">
      <alignment horizontal="center" vertical="top" wrapText="1"/>
    </xf>
    <xf numFmtId="0" fontId="14" fillId="13" borderId="12" xfId="0" applyFont="1" applyFill="1" applyBorder="1" applyAlignment="1">
      <alignment vertical="center" wrapText="1"/>
    </xf>
    <xf numFmtId="0" fontId="13" fillId="13" borderId="25" xfId="0" applyFont="1" applyFill="1" applyBorder="1" applyAlignment="1">
      <alignment vertical="center" wrapText="1"/>
    </xf>
    <xf numFmtId="0" fontId="13" fillId="13" borderId="10" xfId="0" applyFont="1" applyFill="1" applyBorder="1" applyAlignment="1">
      <alignment vertical="center" wrapText="1"/>
    </xf>
    <xf numFmtId="2" fontId="2" fillId="13" borderId="2" xfId="0" applyNumberFormat="1" applyFont="1" applyFill="1" applyBorder="1" applyAlignment="1">
      <alignment horizontal="right" vertical="center"/>
    </xf>
    <xf numFmtId="2" fontId="2" fillId="4" borderId="2" xfId="0" applyNumberFormat="1" applyFont="1" applyFill="1" applyBorder="1" applyAlignment="1">
      <alignment horizontal="right" vertical="center"/>
    </xf>
    <xf numFmtId="4" fontId="5" fillId="13" borderId="2" xfId="0" applyNumberFormat="1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left" vertical="center"/>
    </xf>
    <xf numFmtId="0" fontId="5" fillId="3" borderId="39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/>
    </xf>
    <xf numFmtId="0" fontId="5" fillId="3" borderId="41" xfId="0" applyFont="1" applyFill="1" applyBorder="1" applyAlignment="1">
      <alignment horizontal="left" vertical="center"/>
    </xf>
    <xf numFmtId="0" fontId="5" fillId="3" borderId="42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9" fillId="2" borderId="44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13" borderId="25" xfId="0" applyFont="1" applyFill="1" applyBorder="1" applyAlignment="1">
      <alignment vertical="center" wrapText="1"/>
    </xf>
    <xf numFmtId="0" fontId="14" fillId="13" borderId="10" xfId="0" applyFont="1" applyFill="1" applyBorder="1" applyAlignment="1">
      <alignment vertical="center" wrapText="1"/>
    </xf>
    <xf numFmtId="0" fontId="5" fillId="13" borderId="2" xfId="0" applyFont="1" applyFill="1" applyBorder="1" applyAlignment="1">
      <alignment horizontal="left"/>
    </xf>
    <xf numFmtId="0" fontId="14" fillId="1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/>
    </xf>
    <xf numFmtId="0" fontId="18" fillId="13" borderId="19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0" fontId="3" fillId="0" borderId="19" xfId="0" applyFont="1" applyBorder="1"/>
    <xf numFmtId="0" fontId="3" fillId="0" borderId="3" xfId="0" applyFont="1" applyBorder="1"/>
    <xf numFmtId="0" fontId="18" fillId="0" borderId="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9" fillId="11" borderId="38" xfId="0" applyFont="1" applyFill="1" applyBorder="1" applyAlignment="1">
      <alignment horizontal="center" vertical="center" wrapText="1"/>
    </xf>
    <xf numFmtId="0" fontId="9" fillId="11" borderId="33" xfId="0" applyFont="1" applyFill="1" applyBorder="1" applyAlignment="1">
      <alignment horizontal="center" vertical="center" wrapText="1"/>
    </xf>
    <xf numFmtId="0" fontId="9" fillId="11" borderId="39" xfId="0" applyFont="1" applyFill="1" applyBorder="1" applyAlignment="1">
      <alignment horizontal="center" vertical="center" wrapText="1"/>
    </xf>
    <xf numFmtId="0" fontId="9" fillId="11" borderId="40" xfId="0" applyFont="1" applyFill="1" applyBorder="1" applyAlignment="1">
      <alignment horizontal="center" vertical="center" wrapText="1"/>
    </xf>
    <xf numFmtId="0" fontId="9" fillId="11" borderId="0" xfId="0" applyFont="1" applyFill="1" applyBorder="1" applyAlignment="1">
      <alignment horizontal="center" vertical="center" wrapText="1"/>
    </xf>
    <xf numFmtId="0" fontId="9" fillId="11" borderId="41" xfId="0" applyFont="1" applyFill="1" applyBorder="1" applyAlignment="1">
      <alignment horizontal="center" vertical="center" wrapText="1"/>
    </xf>
    <xf numFmtId="0" fontId="9" fillId="11" borderId="52" xfId="0" applyFont="1" applyFill="1" applyBorder="1" applyAlignment="1">
      <alignment horizontal="center" vertical="center" wrapText="1"/>
    </xf>
    <xf numFmtId="0" fontId="9" fillId="11" borderId="22" xfId="0" applyFont="1" applyFill="1" applyBorder="1" applyAlignment="1">
      <alignment horizontal="center" vertical="center" wrapText="1"/>
    </xf>
    <xf numFmtId="0" fontId="9" fillId="11" borderId="37" xfId="0" applyFont="1" applyFill="1" applyBorder="1" applyAlignment="1">
      <alignment horizontal="center" vertical="center" wrapText="1"/>
    </xf>
    <xf numFmtId="167" fontId="2" fillId="6" borderId="2" xfId="0" applyNumberFormat="1" applyFont="1" applyFill="1" applyBorder="1" applyAlignment="1">
      <alignment horizontal="right" vertical="center"/>
    </xf>
    <xf numFmtId="0" fontId="15" fillId="11" borderId="42" xfId="0" applyFont="1" applyFill="1" applyBorder="1" applyAlignment="1">
      <alignment horizontal="center" vertical="center" wrapText="1"/>
    </xf>
    <xf numFmtId="0" fontId="15" fillId="11" borderId="34" xfId="0" applyFont="1" applyFill="1" applyBorder="1" applyAlignment="1">
      <alignment horizontal="center" vertical="center" wrapText="1"/>
    </xf>
    <xf numFmtId="0" fontId="15" fillId="11" borderId="43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left"/>
    </xf>
    <xf numFmtId="2" fontId="2" fillId="6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176" fontId="2" fillId="0" borderId="12" xfId="4" applyNumberFormat="1" applyFont="1" applyBorder="1" applyAlignment="1">
      <alignment horizontal="right" vertical="center"/>
    </xf>
    <xf numFmtId="176" fontId="2" fillId="0" borderId="10" xfId="4" applyNumberFormat="1" applyFont="1" applyBorder="1" applyAlignment="1">
      <alignment horizontal="right" vertical="center"/>
    </xf>
    <xf numFmtId="176" fontId="2" fillId="0" borderId="0" xfId="4" applyNumberFormat="1" applyFont="1" applyBorder="1" applyAlignment="1">
      <alignment horizontal="right" vertical="center"/>
    </xf>
    <xf numFmtId="0" fontId="2" fillId="0" borderId="20" xfId="7" applyFont="1" applyBorder="1" applyAlignment="1">
      <alignment vertical="center"/>
    </xf>
    <xf numFmtId="0" fontId="2" fillId="0" borderId="21" xfId="7" applyFont="1" applyBorder="1" applyAlignment="1">
      <alignment vertical="center"/>
    </xf>
    <xf numFmtId="0" fontId="2" fillId="0" borderId="23" xfId="7" applyFont="1" applyBorder="1" applyAlignment="1">
      <alignment vertical="center"/>
    </xf>
    <xf numFmtId="0" fontId="2" fillId="0" borderId="56" xfId="7" applyFont="1" applyBorder="1" applyAlignment="1">
      <alignment vertical="center"/>
    </xf>
    <xf numFmtId="0" fontId="2" fillId="0" borderId="22" xfId="7" applyFont="1" applyBorder="1" applyAlignment="1">
      <alignment vertical="center"/>
    </xf>
    <xf numFmtId="0" fontId="2" fillId="0" borderId="32" xfId="7" applyFont="1" applyBorder="1" applyAlignment="1">
      <alignment vertical="center"/>
    </xf>
    <xf numFmtId="0" fontId="2" fillId="0" borderId="25" xfId="7" applyFont="1" applyBorder="1" applyAlignment="1">
      <alignment horizontal="center" vertical="center"/>
    </xf>
    <xf numFmtId="0" fontId="2" fillId="0" borderId="57" xfId="7" applyFont="1" applyBorder="1" applyAlignment="1">
      <alignment horizontal="center" vertical="center"/>
    </xf>
    <xf numFmtId="0" fontId="2" fillId="0" borderId="0" xfId="7" applyFont="1" applyBorder="1" applyAlignment="1">
      <alignment horizontal="center" vertical="center"/>
    </xf>
    <xf numFmtId="0" fontId="2" fillId="0" borderId="20" xfId="7" applyFont="1" applyBorder="1" applyAlignment="1">
      <alignment horizontal="left" vertical="center"/>
    </xf>
    <xf numFmtId="0" fontId="2" fillId="0" borderId="21" xfId="7" applyFont="1" applyBorder="1" applyAlignment="1">
      <alignment horizontal="left" vertical="center"/>
    </xf>
    <xf numFmtId="0" fontId="25" fillId="0" borderId="23" xfId="7" quotePrefix="1" applyFont="1" applyBorder="1" applyAlignment="1">
      <alignment vertical="center"/>
    </xf>
    <xf numFmtId="0" fontId="25" fillId="0" borderId="23" xfId="7" applyFont="1" applyBorder="1" applyAlignment="1">
      <alignment vertical="center"/>
    </xf>
    <xf numFmtId="0" fontId="25" fillId="0" borderId="56" xfId="7" applyFont="1" applyBorder="1" applyAlignment="1">
      <alignment vertical="center"/>
    </xf>
    <xf numFmtId="0" fontId="25" fillId="0" borderId="22" xfId="7" applyFont="1" applyBorder="1" applyAlignment="1">
      <alignment vertical="center"/>
    </xf>
    <xf numFmtId="0" fontId="25" fillId="0" borderId="32" xfId="7" applyFont="1" applyBorder="1" applyAlignment="1">
      <alignment vertical="center"/>
    </xf>
    <xf numFmtId="0" fontId="5" fillId="2" borderId="23" xfId="7" applyNumberFormat="1" applyFont="1" applyFill="1" applyBorder="1" applyAlignment="1" applyProtection="1">
      <alignment horizontal="left"/>
    </xf>
    <xf numFmtId="0" fontId="5" fillId="2" borderId="56" xfId="7" applyNumberFormat="1" applyFont="1" applyFill="1" applyBorder="1" applyAlignment="1" applyProtection="1">
      <alignment horizontal="left"/>
    </xf>
    <xf numFmtId="0" fontId="5" fillId="2" borderId="19" xfId="7" applyNumberFormat="1" applyFont="1" applyFill="1" applyBorder="1" applyAlignment="1" applyProtection="1">
      <alignment horizontal="left"/>
    </xf>
    <xf numFmtId="0" fontId="5" fillId="2" borderId="3" xfId="7" applyNumberFormat="1" applyFont="1" applyFill="1" applyBorder="1" applyAlignment="1" applyProtection="1">
      <alignment horizontal="left"/>
    </xf>
    <xf numFmtId="2" fontId="5" fillId="2" borderId="20" xfId="7" applyNumberFormat="1" applyFont="1" applyFill="1" applyBorder="1" applyAlignment="1" applyProtection="1">
      <alignment horizontal="left"/>
    </xf>
    <xf numFmtId="2" fontId="5" fillId="2" borderId="1" xfId="7" applyNumberFormat="1" applyFont="1" applyFill="1" applyBorder="1" applyAlignment="1" applyProtection="1">
      <alignment horizontal="left"/>
    </xf>
  </cellXfs>
  <cellStyles count="10">
    <cellStyle name="Euro" xfId="1" xr:uid="{00000000-0005-0000-0000-000000000000}"/>
    <cellStyle name="Euro 2" xfId="2" xr:uid="{00000000-0005-0000-0000-000001000000}"/>
    <cellStyle name="Komma" xfId="3" builtinId="3"/>
    <cellStyle name="Komma 2" xfId="4" xr:uid="{00000000-0005-0000-0000-000003000000}"/>
    <cellStyle name="Prozent" xfId="5" builtinId="5"/>
    <cellStyle name="Prozent 2" xfId="6" xr:uid="{00000000-0005-0000-0000-000005000000}"/>
    <cellStyle name="Standard" xfId="0" builtinId="0"/>
    <cellStyle name="Standard 2" xfId="7" xr:uid="{00000000-0005-0000-0000-000007000000}"/>
    <cellStyle name="Standard 3" xfId="8" xr:uid="{2630A7D1-5203-4477-ABE4-3350D21CF9A4}"/>
    <cellStyle name="Währung 2" xfId="9" xr:uid="{2E70C35B-309E-46CB-919E-FD7058A5F4C9}"/>
  </cellStyles>
  <dxfs count="1"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Kosten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v>Sekretariat</c:v>
          </c:tx>
          <c:spPr>
            <a:solidFill>
              <a:schemeClr val="accent1"/>
            </a:solidFill>
          </c:spPr>
          <c:invertIfNegative val="0"/>
          <c:cat>
            <c:numRef>
              <c:f>Personaleinsatzplan!$F$8:$Q$8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Personaleinsatzplan!$F$17:$Q$17</c:f>
              <c:numCache>
                <c:formatCode>#\ ##0\ "€"</c:formatCode>
                <c:ptCount val="12"/>
                <c:pt idx="0">
                  <c:v>371.21059555019997</c:v>
                </c:pt>
                <c:pt idx="1">
                  <c:v>371.21059555019997</c:v>
                </c:pt>
                <c:pt idx="2">
                  <c:v>371.21059555019997</c:v>
                </c:pt>
                <c:pt idx="3">
                  <c:v>371.21059555019997</c:v>
                </c:pt>
                <c:pt idx="4">
                  <c:v>371.21059555019997</c:v>
                </c:pt>
                <c:pt idx="5">
                  <c:v>371.21059555019997</c:v>
                </c:pt>
                <c:pt idx="6">
                  <c:v>742.42119110039994</c:v>
                </c:pt>
                <c:pt idx="7">
                  <c:v>742.42119110039994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7-4B8F-A80A-B7C13CF7A5F4}"/>
            </c:ext>
          </c:extLst>
        </c:ser>
        <c:ser>
          <c:idx val="2"/>
          <c:order val="1"/>
          <c:tx>
            <c:v>Techniker</c:v>
          </c:tx>
          <c:spPr>
            <a:solidFill>
              <a:schemeClr val="accent2"/>
            </a:solidFill>
          </c:spPr>
          <c:invertIfNegative val="0"/>
          <c:cat>
            <c:numRef>
              <c:f>Personaleinsatzplan!$F$8:$Q$8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Personaleinsatzplan!$F$14:$Q$14</c:f>
              <c:numCache>
                <c:formatCode>#\ ##0\ "€"</c:formatCode>
                <c:ptCount val="12"/>
                <c:pt idx="0">
                  <c:v>1272.7220418864001</c:v>
                </c:pt>
                <c:pt idx="1">
                  <c:v>1909.0830628295998</c:v>
                </c:pt>
                <c:pt idx="2">
                  <c:v>5727.2491884888004</c:v>
                </c:pt>
                <c:pt idx="3">
                  <c:v>5727.2491884888004</c:v>
                </c:pt>
                <c:pt idx="4">
                  <c:v>6363.6102094319995</c:v>
                </c:pt>
                <c:pt idx="5">
                  <c:v>6363.6102094319995</c:v>
                </c:pt>
                <c:pt idx="6">
                  <c:v>12727.220418863999</c:v>
                </c:pt>
                <c:pt idx="7">
                  <c:v>12727.220418863999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D7-4B8F-A80A-B7C13CF7A5F4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  <c:pt idx="0">
                  <c:v>Planungsleiter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Personaleinsatzplan!$F$8:$Q$8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Personaleinsatzplan!$F$11:$Q$11</c:f>
              <c:numCache>
                <c:formatCode>#\ ##0\ "€"</c:formatCode>
                <c:ptCount val="12"/>
                <c:pt idx="0">
                  <c:v>2306.8087009190999</c:v>
                </c:pt>
                <c:pt idx="1">
                  <c:v>2306.8087009190999</c:v>
                </c:pt>
                <c:pt idx="2">
                  <c:v>6151.4898691176004</c:v>
                </c:pt>
                <c:pt idx="3">
                  <c:v>7689.362336397</c:v>
                </c:pt>
                <c:pt idx="4">
                  <c:v>7689.362336397</c:v>
                </c:pt>
                <c:pt idx="5">
                  <c:v>7689.362336397</c:v>
                </c:pt>
                <c:pt idx="6">
                  <c:v>15378.724672794</c:v>
                </c:pt>
                <c:pt idx="7">
                  <c:v>15378.724672794</c:v>
                </c:pt>
                <c:pt idx="8">
                  <c:v>3075.7449345588002</c:v>
                </c:pt>
                <c:pt idx="9">
                  <c:v>3075.7449345588002</c:v>
                </c:pt>
                <c:pt idx="10">
                  <c:v>3075.7449345588002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D7-4B8F-A80A-B7C13CF7A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355916776"/>
        <c:axId val="1"/>
      </c:barChart>
      <c:catAx>
        <c:axId val="355916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Kosten [€]</a:t>
                </a:r>
              </a:p>
            </c:rich>
          </c:tx>
          <c:layout>
            <c:manualLayout>
              <c:xMode val="edge"/>
              <c:yMode val="edge"/>
              <c:x val="1.4349616250575313E-2"/>
              <c:y val="0.33715692472747477"/>
            </c:manualLayout>
          </c:layout>
          <c:overlay val="0"/>
        </c:title>
        <c:numFmt formatCode="#\ ##0\ &quot;€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9167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Stunden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v>Sekretariat</c:v>
          </c:tx>
          <c:spPr>
            <a:solidFill>
              <a:schemeClr val="accent1"/>
            </a:solidFill>
          </c:spPr>
          <c:invertIfNegative val="0"/>
          <c:cat>
            <c:numRef>
              <c:f>Personaleinsatzplan!$F$8:$Q$8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Personaleinsatzplan!$F$16:$Q$16</c:f>
              <c:numCache>
                <c:formatCode>0</c:formatCode>
                <c:ptCount val="12"/>
                <c:pt idx="0">
                  <c:v>6.9962499999999999</c:v>
                </c:pt>
                <c:pt idx="1">
                  <c:v>6.9962499999999999</c:v>
                </c:pt>
                <c:pt idx="2">
                  <c:v>6.9962499999999999</c:v>
                </c:pt>
                <c:pt idx="3">
                  <c:v>6.9962499999999999</c:v>
                </c:pt>
                <c:pt idx="4">
                  <c:v>6.9962499999999999</c:v>
                </c:pt>
                <c:pt idx="5">
                  <c:v>6.9962499999999999</c:v>
                </c:pt>
                <c:pt idx="6">
                  <c:v>13.9925</c:v>
                </c:pt>
                <c:pt idx="7">
                  <c:v>13.9925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00-4C13-B92E-9EDC6E43039A}"/>
            </c:ext>
          </c:extLst>
        </c:ser>
        <c:ser>
          <c:idx val="2"/>
          <c:order val="1"/>
          <c:tx>
            <c:v>Techniker</c:v>
          </c:tx>
          <c:spPr>
            <a:solidFill>
              <a:schemeClr val="accent2"/>
            </a:solidFill>
          </c:spPr>
          <c:invertIfNegative val="0"/>
          <c:cat>
            <c:numRef>
              <c:f>Personaleinsatzplan!$F$8:$Q$8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Personaleinsatzplan!$F$13:$Q$13</c:f>
              <c:numCache>
                <c:formatCode>0</c:formatCode>
                <c:ptCount val="12"/>
                <c:pt idx="0">
                  <c:v>13.9925</c:v>
                </c:pt>
                <c:pt idx="1">
                  <c:v>20.988749999999996</c:v>
                </c:pt>
                <c:pt idx="2">
                  <c:v>62.966249999999995</c:v>
                </c:pt>
                <c:pt idx="3">
                  <c:v>62.966249999999995</c:v>
                </c:pt>
                <c:pt idx="4">
                  <c:v>69.962499999999991</c:v>
                </c:pt>
                <c:pt idx="5">
                  <c:v>69.962499999999991</c:v>
                </c:pt>
                <c:pt idx="6">
                  <c:v>139.92499999999998</c:v>
                </c:pt>
                <c:pt idx="7">
                  <c:v>139.92499999999998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00-4C13-B92E-9EDC6E43039A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  <c:pt idx="0">
                  <c:v>Planungsleiter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Personaleinsatzplan!$F$8:$Q$8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Personaleinsatzplan!$F$10:$Q$10</c:f>
              <c:numCache>
                <c:formatCode>0</c:formatCode>
                <c:ptCount val="12"/>
                <c:pt idx="0">
                  <c:v>20.988749999999996</c:v>
                </c:pt>
                <c:pt idx="1">
                  <c:v>20.988749999999996</c:v>
                </c:pt>
                <c:pt idx="2">
                  <c:v>55.97</c:v>
                </c:pt>
                <c:pt idx="3">
                  <c:v>69.962499999999991</c:v>
                </c:pt>
                <c:pt idx="4">
                  <c:v>69.962499999999991</c:v>
                </c:pt>
                <c:pt idx="5">
                  <c:v>69.962499999999991</c:v>
                </c:pt>
                <c:pt idx="6">
                  <c:v>139.92499999999998</c:v>
                </c:pt>
                <c:pt idx="7">
                  <c:v>139.92499999999998</c:v>
                </c:pt>
                <c:pt idx="8">
                  <c:v>27.984999999999999</c:v>
                </c:pt>
                <c:pt idx="9">
                  <c:v>27.984999999999999</c:v>
                </c:pt>
                <c:pt idx="10">
                  <c:v>27.984999999999999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00-4C13-B92E-9EDC6E430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355923008"/>
        <c:axId val="1"/>
      </c:barChart>
      <c:catAx>
        <c:axId val="355923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Stunden [h]</a:t>
                </a:r>
              </a:p>
            </c:rich>
          </c:tx>
          <c:layout>
            <c:manualLayout>
              <c:xMode val="edge"/>
              <c:yMode val="edge"/>
              <c:x val="1.4311054720055729E-2"/>
              <c:y val="0.31371159487417016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9230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Prozentuelle Verteilung des Einsatzes über die Dauer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Personaleinsatzplan!$A$9</c:f>
              <c:strCache>
                <c:ptCount val="1"/>
                <c:pt idx="0">
                  <c:v>Planungsleiter</c:v>
                </c:pt>
              </c:strCache>
            </c:strRef>
          </c:tx>
          <c:invertIfNegative val="0"/>
          <c:val>
            <c:numRef>
              <c:f>Personaleinsatzplan!$F$9:$Q$9</c:f>
              <c:numCache>
                <c:formatCode>0%</c:formatCode>
                <c:ptCount val="12"/>
                <c:pt idx="0">
                  <c:v>0.15</c:v>
                </c:pt>
                <c:pt idx="1">
                  <c:v>0.15</c:v>
                </c:pt>
                <c:pt idx="2">
                  <c:v>0.4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1</c:v>
                </c:pt>
                <c:pt idx="7">
                  <c:v>1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1-4690-B2E6-1A050F594783}"/>
            </c:ext>
          </c:extLst>
        </c:ser>
        <c:ser>
          <c:idx val="1"/>
          <c:order val="1"/>
          <c:tx>
            <c:v>Techniker</c:v>
          </c:tx>
          <c:invertIfNegative val="0"/>
          <c:val>
            <c:numRef>
              <c:f>Personaleinsatzplan!$F$12:$Q$12</c:f>
              <c:numCache>
                <c:formatCode>0%</c:formatCode>
                <c:ptCount val="12"/>
                <c:pt idx="0">
                  <c:v>0.1</c:v>
                </c:pt>
                <c:pt idx="1">
                  <c:v>0.15</c:v>
                </c:pt>
                <c:pt idx="2">
                  <c:v>0.45</c:v>
                </c:pt>
                <c:pt idx="3">
                  <c:v>0.45</c:v>
                </c:pt>
                <c:pt idx="4">
                  <c:v>0.5</c:v>
                </c:pt>
                <c:pt idx="5">
                  <c:v>0.5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A1-4690-B2E6-1A050F594783}"/>
            </c:ext>
          </c:extLst>
        </c:ser>
        <c:ser>
          <c:idx val="0"/>
          <c:order val="2"/>
          <c:tx>
            <c:v>Sekretariat</c:v>
          </c:tx>
          <c:invertIfNegative val="0"/>
          <c:val>
            <c:numRef>
              <c:f>Personaleinsatzplan!$F$15:$Q$15</c:f>
              <c:numCache>
                <c:formatCode>0%</c:formatCode>
                <c:ptCount val="12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0.1</c:v>
                </c:pt>
                <c:pt idx="7">
                  <c:v>0.1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A1-4690-B2E6-1A050F594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axId val="355917760"/>
        <c:axId val="1"/>
      </c:barChart>
      <c:catAx>
        <c:axId val="35591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Einsatz [%]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559177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1525820" name="AutoShape 6">
          <a:extLst>
            <a:ext uri="{FF2B5EF4-FFF2-40B4-BE49-F238E27FC236}">
              <a16:creationId xmlns:a16="http://schemas.microsoft.com/office/drawing/2014/main" id="{00000000-0008-0000-0300-00003C481700}"/>
            </a:ext>
          </a:extLst>
        </xdr:cNvPr>
        <xdr:cNvSpPr>
          <a:spLocks noChangeArrowheads="1"/>
        </xdr:cNvSpPr>
      </xdr:nvSpPr>
      <xdr:spPr bwMode="auto">
        <a:xfrm>
          <a:off x="5314950" y="260032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360760</xdr:colOff>
      <xdr:row>1</xdr:row>
      <xdr:rowOff>47625</xdr:rowOff>
    </xdr:from>
    <xdr:to>
      <xdr:col>10</xdr:col>
      <xdr:colOff>351235</xdr:colOff>
      <xdr:row>1</xdr:row>
      <xdr:rowOff>314325</xdr:rowOff>
    </xdr:to>
    <xdr:sp macro="" textlink="">
      <xdr:nvSpPr>
        <xdr:cNvPr id="18439" name="AutoShape 7">
          <a:extLst>
            <a:ext uri="{FF2B5EF4-FFF2-40B4-BE49-F238E27FC236}">
              <a16:creationId xmlns:a16="http://schemas.microsoft.com/office/drawing/2014/main" id="{00000000-0008-0000-0300-000007480000}"/>
            </a:ext>
          </a:extLst>
        </xdr:cNvPr>
        <xdr:cNvSpPr>
          <a:spLocks noChangeArrowheads="1"/>
        </xdr:cNvSpPr>
      </xdr:nvSpPr>
      <xdr:spPr bwMode="auto">
        <a:xfrm>
          <a:off x="4879182" y="523875"/>
          <a:ext cx="716756" cy="266700"/>
        </a:xfrm>
        <a:prstGeom prst="leftRightArrow">
          <a:avLst>
            <a:gd name="adj1" fmla="val 57139"/>
            <a:gd name="adj2" fmla="val 55320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3</a:t>
          </a:r>
        </a:p>
      </xdr:txBody>
    </xdr:sp>
    <xdr:clientData/>
  </xdr:twoCellAnchor>
  <xdr:twoCellAnchor>
    <xdr:from>
      <xdr:col>11</xdr:col>
      <xdr:colOff>17858</xdr:colOff>
      <xdr:row>1</xdr:row>
      <xdr:rowOff>47625</xdr:rowOff>
    </xdr:from>
    <xdr:to>
      <xdr:col>13</xdr:col>
      <xdr:colOff>363140</xdr:colOff>
      <xdr:row>1</xdr:row>
      <xdr:rowOff>314325</xdr:rowOff>
    </xdr:to>
    <xdr:sp macro="" textlink="">
      <xdr:nvSpPr>
        <xdr:cNvPr id="18440" name="AutoShape 8">
          <a:extLst>
            <a:ext uri="{FF2B5EF4-FFF2-40B4-BE49-F238E27FC236}">
              <a16:creationId xmlns:a16="http://schemas.microsoft.com/office/drawing/2014/main" id="{00000000-0008-0000-0300-000008480000}"/>
            </a:ext>
          </a:extLst>
        </xdr:cNvPr>
        <xdr:cNvSpPr>
          <a:spLocks noChangeArrowheads="1"/>
        </xdr:cNvSpPr>
      </xdr:nvSpPr>
      <xdr:spPr bwMode="auto">
        <a:xfrm>
          <a:off x="5625702" y="523875"/>
          <a:ext cx="1071563" cy="266700"/>
        </a:xfrm>
        <a:prstGeom prst="leftRightArrow">
          <a:avLst>
            <a:gd name="adj1" fmla="val 57139"/>
            <a:gd name="adj2" fmla="val 7777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4</a:t>
          </a:r>
        </a:p>
      </xdr:txBody>
    </xdr:sp>
    <xdr:clientData/>
  </xdr:twoCellAnchor>
  <xdr:twoCellAnchor>
    <xdr:from>
      <xdr:col>14</xdr:col>
      <xdr:colOff>0</xdr:colOff>
      <xdr:row>1</xdr:row>
      <xdr:rowOff>47625</xdr:rowOff>
    </xdr:from>
    <xdr:to>
      <xdr:col>14</xdr:col>
      <xdr:colOff>593481</xdr:colOff>
      <xdr:row>1</xdr:row>
      <xdr:rowOff>314325</xdr:rowOff>
    </xdr:to>
    <xdr:sp macro="" textlink="">
      <xdr:nvSpPr>
        <xdr:cNvPr id="18441" name="AutoShape 9">
          <a:extLst>
            <a:ext uri="{FF2B5EF4-FFF2-40B4-BE49-F238E27FC236}">
              <a16:creationId xmlns:a16="http://schemas.microsoft.com/office/drawing/2014/main" id="{00000000-0008-0000-0300-000009480000}"/>
            </a:ext>
          </a:extLst>
        </xdr:cNvPr>
        <xdr:cNvSpPr>
          <a:spLocks noChangeArrowheads="1"/>
        </xdr:cNvSpPr>
      </xdr:nvSpPr>
      <xdr:spPr bwMode="auto">
        <a:xfrm>
          <a:off x="6381750" y="523875"/>
          <a:ext cx="593481" cy="266700"/>
        </a:xfrm>
        <a:prstGeom prst="leftRightArrow">
          <a:avLst>
            <a:gd name="adj1" fmla="val 54287"/>
            <a:gd name="adj2" fmla="val 34561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5</a:t>
          </a:r>
        </a:p>
      </xdr:txBody>
    </xdr:sp>
    <xdr:clientData/>
  </xdr:twoCellAnchor>
  <xdr:twoCellAnchor>
    <xdr:from>
      <xdr:col>14</xdr:col>
      <xdr:colOff>0</xdr:colOff>
      <xdr:row>12</xdr:row>
      <xdr:rowOff>0</xdr:rowOff>
    </xdr:from>
    <xdr:to>
      <xdr:col>14</xdr:col>
      <xdr:colOff>0</xdr:colOff>
      <xdr:row>12</xdr:row>
      <xdr:rowOff>0</xdr:rowOff>
    </xdr:to>
    <xdr:sp macro="" textlink="">
      <xdr:nvSpPr>
        <xdr:cNvPr id="1525832" name="AutoShape 20">
          <a:extLst>
            <a:ext uri="{FF2B5EF4-FFF2-40B4-BE49-F238E27FC236}">
              <a16:creationId xmlns:a16="http://schemas.microsoft.com/office/drawing/2014/main" id="{00000000-0008-0000-0300-000048481700}"/>
            </a:ext>
          </a:extLst>
        </xdr:cNvPr>
        <xdr:cNvSpPr>
          <a:spLocks noChangeArrowheads="1"/>
        </xdr:cNvSpPr>
      </xdr:nvSpPr>
      <xdr:spPr bwMode="auto">
        <a:xfrm>
          <a:off x="6400800" y="260032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21431</xdr:colOff>
      <xdr:row>1</xdr:row>
      <xdr:rowOff>47625</xdr:rowOff>
    </xdr:from>
    <xdr:to>
      <xdr:col>5</xdr:col>
      <xdr:colOff>29766</xdr:colOff>
      <xdr:row>1</xdr:row>
      <xdr:rowOff>314325</xdr:rowOff>
    </xdr:to>
    <xdr:sp macro="" textlink="">
      <xdr:nvSpPr>
        <xdr:cNvPr id="18453" name="AutoShape 21">
          <a:extLst>
            <a:ext uri="{FF2B5EF4-FFF2-40B4-BE49-F238E27FC236}">
              <a16:creationId xmlns:a16="http://schemas.microsoft.com/office/drawing/2014/main" id="{00000000-0008-0000-0300-000015480000}"/>
            </a:ext>
          </a:extLst>
        </xdr:cNvPr>
        <xdr:cNvSpPr>
          <a:spLocks noChangeArrowheads="1"/>
        </xdr:cNvSpPr>
      </xdr:nvSpPr>
      <xdr:spPr bwMode="auto">
        <a:xfrm>
          <a:off x="2724150" y="523875"/>
          <a:ext cx="734616" cy="266700"/>
        </a:xfrm>
        <a:prstGeom prst="leftRightArrow">
          <a:avLst>
            <a:gd name="adj1" fmla="val 48574"/>
            <a:gd name="adj2" fmla="val 46837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1</a:t>
          </a:r>
        </a:p>
      </xdr:txBody>
    </xdr:sp>
    <xdr:clientData/>
  </xdr:twoCellAnchor>
  <xdr:twoCellAnchor>
    <xdr:from>
      <xdr:col>5</xdr:col>
      <xdr:colOff>35718</xdr:colOff>
      <xdr:row>1</xdr:row>
      <xdr:rowOff>47625</xdr:rowOff>
    </xdr:from>
    <xdr:to>
      <xdr:col>8</xdr:col>
      <xdr:colOff>345281</xdr:colOff>
      <xdr:row>1</xdr:row>
      <xdr:rowOff>314325</xdr:rowOff>
    </xdr:to>
    <xdr:sp macro="" textlink="">
      <xdr:nvSpPr>
        <xdr:cNvPr id="18454" name="AutoShape 22">
          <a:extLst>
            <a:ext uri="{FF2B5EF4-FFF2-40B4-BE49-F238E27FC236}">
              <a16:creationId xmlns:a16="http://schemas.microsoft.com/office/drawing/2014/main" id="{00000000-0008-0000-0300-000016480000}"/>
            </a:ext>
          </a:extLst>
        </xdr:cNvPr>
        <xdr:cNvSpPr>
          <a:spLocks noChangeArrowheads="1"/>
        </xdr:cNvSpPr>
      </xdr:nvSpPr>
      <xdr:spPr bwMode="auto">
        <a:xfrm>
          <a:off x="3464718" y="523875"/>
          <a:ext cx="1398985" cy="266700"/>
        </a:xfrm>
        <a:prstGeom prst="leftRightArrow">
          <a:avLst>
            <a:gd name="adj1" fmla="val 57139"/>
            <a:gd name="adj2" fmla="val 8516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2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1525837" name="AutoShape 27">
          <a:extLst>
            <a:ext uri="{FF2B5EF4-FFF2-40B4-BE49-F238E27FC236}">
              <a16:creationId xmlns:a16="http://schemas.microsoft.com/office/drawing/2014/main" id="{00000000-0008-0000-0300-00004D481700}"/>
            </a:ext>
          </a:extLst>
        </xdr:cNvPr>
        <xdr:cNvSpPr>
          <a:spLocks noChangeArrowheads="1"/>
        </xdr:cNvSpPr>
      </xdr:nvSpPr>
      <xdr:spPr bwMode="auto">
        <a:xfrm>
          <a:off x="5314950" y="28860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15</xdr:row>
      <xdr:rowOff>0</xdr:rowOff>
    </xdr:from>
    <xdr:to>
      <xdr:col>14</xdr:col>
      <xdr:colOff>0</xdr:colOff>
      <xdr:row>15</xdr:row>
      <xdr:rowOff>0</xdr:rowOff>
    </xdr:to>
    <xdr:sp macro="" textlink="">
      <xdr:nvSpPr>
        <xdr:cNvPr id="1525838" name="AutoShape 28">
          <a:extLst>
            <a:ext uri="{FF2B5EF4-FFF2-40B4-BE49-F238E27FC236}">
              <a16:creationId xmlns:a16="http://schemas.microsoft.com/office/drawing/2014/main" id="{00000000-0008-0000-0300-00004E481700}"/>
            </a:ext>
          </a:extLst>
        </xdr:cNvPr>
        <xdr:cNvSpPr>
          <a:spLocks noChangeArrowheads="1"/>
        </xdr:cNvSpPr>
      </xdr:nvSpPr>
      <xdr:spPr bwMode="auto">
        <a:xfrm>
          <a:off x="6400800" y="28860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1525839" name="AutoShape 29">
          <a:extLst>
            <a:ext uri="{FF2B5EF4-FFF2-40B4-BE49-F238E27FC236}">
              <a16:creationId xmlns:a16="http://schemas.microsoft.com/office/drawing/2014/main" id="{00000000-0008-0000-0300-00004F481700}"/>
            </a:ext>
          </a:extLst>
        </xdr:cNvPr>
        <xdr:cNvSpPr>
          <a:spLocks noChangeArrowheads="1"/>
        </xdr:cNvSpPr>
      </xdr:nvSpPr>
      <xdr:spPr bwMode="auto">
        <a:xfrm>
          <a:off x="5314950" y="28860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15</xdr:row>
      <xdr:rowOff>0</xdr:rowOff>
    </xdr:from>
    <xdr:to>
      <xdr:col>14</xdr:col>
      <xdr:colOff>0</xdr:colOff>
      <xdr:row>15</xdr:row>
      <xdr:rowOff>0</xdr:rowOff>
    </xdr:to>
    <xdr:sp macro="" textlink="">
      <xdr:nvSpPr>
        <xdr:cNvPr id="1525840" name="AutoShape 30">
          <a:extLst>
            <a:ext uri="{FF2B5EF4-FFF2-40B4-BE49-F238E27FC236}">
              <a16:creationId xmlns:a16="http://schemas.microsoft.com/office/drawing/2014/main" id="{00000000-0008-0000-0300-000050481700}"/>
            </a:ext>
          </a:extLst>
        </xdr:cNvPr>
        <xdr:cNvSpPr>
          <a:spLocks noChangeArrowheads="1"/>
        </xdr:cNvSpPr>
      </xdr:nvSpPr>
      <xdr:spPr bwMode="auto">
        <a:xfrm>
          <a:off x="6400800" y="28860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561975</xdr:colOff>
      <xdr:row>0</xdr:row>
      <xdr:rowOff>0</xdr:rowOff>
    </xdr:to>
    <xdr:pic>
      <xdr:nvPicPr>
        <xdr:cNvPr id="16653" name="Picture 1" descr="Logo WKO-Bundesinnung Bau">
          <a:extLst>
            <a:ext uri="{FF2B5EF4-FFF2-40B4-BE49-F238E27FC236}">
              <a16:creationId xmlns:a16="http://schemas.microsoft.com/office/drawing/2014/main" id="{00000000-0008-0000-0400-00000D4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235640</xdr:colOff>
      <xdr:row>39</xdr:row>
      <xdr:rowOff>19050</xdr:rowOff>
    </xdr:from>
    <xdr:to>
      <xdr:col>15</xdr:col>
      <xdr:colOff>201268</xdr:colOff>
      <xdr:row>55</xdr:row>
      <xdr:rowOff>47625</xdr:rowOff>
    </xdr:to>
    <xdr:graphicFrame macro="">
      <xdr:nvGraphicFramePr>
        <xdr:cNvPr id="154305" name="Diagramm 1">
          <a:extLst>
            <a:ext uri="{FF2B5EF4-FFF2-40B4-BE49-F238E27FC236}">
              <a16:creationId xmlns:a16="http://schemas.microsoft.com/office/drawing/2014/main" id="{00000000-0008-0000-0700-0000C15A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231913</xdr:colOff>
      <xdr:row>56</xdr:row>
      <xdr:rowOff>66675</xdr:rowOff>
    </xdr:from>
    <xdr:to>
      <xdr:col>15</xdr:col>
      <xdr:colOff>201268</xdr:colOff>
      <xdr:row>72</xdr:row>
      <xdr:rowOff>76200</xdr:rowOff>
    </xdr:to>
    <xdr:graphicFrame macro="">
      <xdr:nvGraphicFramePr>
        <xdr:cNvPr id="154306" name="Diagramm 2">
          <a:extLst>
            <a:ext uri="{FF2B5EF4-FFF2-40B4-BE49-F238E27FC236}">
              <a16:creationId xmlns:a16="http://schemas.microsoft.com/office/drawing/2014/main" id="{00000000-0008-0000-0700-0000C25A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231913</xdr:colOff>
      <xdr:row>73</xdr:row>
      <xdr:rowOff>85725</xdr:rowOff>
    </xdr:from>
    <xdr:to>
      <xdr:col>16</xdr:col>
      <xdr:colOff>287821</xdr:colOff>
      <xdr:row>89</xdr:row>
      <xdr:rowOff>104775</xdr:rowOff>
    </xdr:to>
    <xdr:graphicFrame macro="">
      <xdr:nvGraphicFramePr>
        <xdr:cNvPr id="154307" name="Diagramm 5">
          <a:extLst>
            <a:ext uri="{FF2B5EF4-FFF2-40B4-BE49-F238E27FC236}">
              <a16:creationId xmlns:a16="http://schemas.microsoft.com/office/drawing/2014/main" id="{00000000-0008-0000-0700-0000C35A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35</xdr:row>
      <xdr:rowOff>156882</xdr:rowOff>
    </xdr:from>
    <xdr:to>
      <xdr:col>10</xdr:col>
      <xdr:colOff>0</xdr:colOff>
      <xdr:row>37</xdr:row>
      <xdr:rowOff>19050</xdr:rowOff>
    </xdr:to>
    <xdr:sp macro="" textlink="">
      <xdr:nvSpPr>
        <xdr:cNvPr id="6" name="Abgerundetes Rechteck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366062" y="6577853"/>
          <a:ext cx="603997" cy="27678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45</xdr:row>
      <xdr:rowOff>161925</xdr:rowOff>
    </xdr:from>
    <xdr:to>
      <xdr:col>10</xdr:col>
      <xdr:colOff>0</xdr:colOff>
      <xdr:row>47</xdr:row>
      <xdr:rowOff>28575</xdr:rowOff>
    </xdr:to>
    <xdr:sp macro="" textlink="">
      <xdr:nvSpPr>
        <xdr:cNvPr id="12" name="Abgerundetes Rechteck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6353175" y="8201025"/>
          <a:ext cx="600075" cy="27622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65209</xdr:colOff>
      <xdr:row>57</xdr:row>
      <xdr:rowOff>154599</xdr:rowOff>
    </xdr:from>
    <xdr:to>
      <xdr:col>6</xdr:col>
      <xdr:colOff>627184</xdr:colOff>
      <xdr:row>59</xdr:row>
      <xdr:rowOff>11207</xdr:rowOff>
    </xdr:to>
    <xdr:sp macro="" textlink="">
      <xdr:nvSpPr>
        <xdr:cNvPr id="13" name="Abgerundetes Rechteck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5119062" y="11214805"/>
          <a:ext cx="561975" cy="237608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67407</xdr:colOff>
      <xdr:row>49</xdr:row>
      <xdr:rowOff>166322</xdr:rowOff>
    </xdr:from>
    <xdr:to>
      <xdr:col>6</xdr:col>
      <xdr:colOff>619857</xdr:colOff>
      <xdr:row>51</xdr:row>
      <xdr:rowOff>28576</xdr:rowOff>
    </xdr:to>
    <xdr:sp macro="" textlink="">
      <xdr:nvSpPr>
        <xdr:cNvPr id="14" name="Abgerundetes Rechteck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5096607" y="9386522"/>
          <a:ext cx="552450" cy="224204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56589</xdr:colOff>
      <xdr:row>41</xdr:row>
      <xdr:rowOff>160244</xdr:rowOff>
    </xdr:from>
    <xdr:to>
      <xdr:col>6</xdr:col>
      <xdr:colOff>618564</xdr:colOff>
      <xdr:row>43</xdr:row>
      <xdr:rowOff>0</xdr:rowOff>
    </xdr:to>
    <xdr:sp macro="" textlink="">
      <xdr:nvSpPr>
        <xdr:cNvPr id="15" name="Abgerundetes Rechteck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5110442" y="7668185"/>
          <a:ext cx="561975" cy="220756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53</xdr:row>
      <xdr:rowOff>142875</xdr:rowOff>
    </xdr:from>
    <xdr:to>
      <xdr:col>10</xdr:col>
      <xdr:colOff>0</xdr:colOff>
      <xdr:row>55</xdr:row>
      <xdr:rowOff>47625</xdr:rowOff>
    </xdr:to>
    <xdr:sp macro="" textlink="">
      <xdr:nvSpPr>
        <xdr:cNvPr id="17" name="Abgerundetes Rechteck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5924550" y="6724650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25</xdr:row>
      <xdr:rowOff>168089</xdr:rowOff>
    </xdr:from>
    <xdr:to>
      <xdr:col>10</xdr:col>
      <xdr:colOff>0</xdr:colOff>
      <xdr:row>27</xdr:row>
      <xdr:rowOff>19050</xdr:rowOff>
    </xdr:to>
    <xdr:sp macro="" textlink="">
      <xdr:nvSpPr>
        <xdr:cNvPr id="18" name="Abgerundetes Rechteck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6366062" y="4616824"/>
          <a:ext cx="603997" cy="265579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56589</xdr:colOff>
      <xdr:row>31</xdr:row>
      <xdr:rowOff>171450</xdr:rowOff>
    </xdr:from>
    <xdr:to>
      <xdr:col>6</xdr:col>
      <xdr:colOff>618564</xdr:colOff>
      <xdr:row>33</xdr:row>
      <xdr:rowOff>0</xdr:rowOff>
    </xdr:to>
    <xdr:sp macro="" textlink="">
      <xdr:nvSpPr>
        <xdr:cNvPr id="19" name="Abgerundetes Rechteck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/>
      </xdr:nvSpPr>
      <xdr:spPr>
        <a:xfrm>
          <a:off x="5099236" y="5158068"/>
          <a:ext cx="561975" cy="198344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16</xdr:row>
      <xdr:rowOff>161925</xdr:rowOff>
    </xdr:from>
    <xdr:to>
      <xdr:col>10</xdr:col>
      <xdr:colOff>0</xdr:colOff>
      <xdr:row>18</xdr:row>
      <xdr:rowOff>19050</xdr:rowOff>
    </xdr:to>
    <xdr:sp macro="" textlink="">
      <xdr:nvSpPr>
        <xdr:cNvPr id="20" name="Abgerundetes Rechteck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6366062" y="2929778"/>
          <a:ext cx="603997" cy="260537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56589</xdr:colOff>
      <xdr:row>20</xdr:row>
      <xdr:rowOff>171450</xdr:rowOff>
    </xdr:from>
    <xdr:to>
      <xdr:col>6</xdr:col>
      <xdr:colOff>618564</xdr:colOff>
      <xdr:row>22</xdr:row>
      <xdr:rowOff>0</xdr:rowOff>
    </xdr:to>
    <xdr:sp macro="" textlink="">
      <xdr:nvSpPr>
        <xdr:cNvPr id="21" name="Abgerundetes Rechteck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/>
      </xdr:nvSpPr>
      <xdr:spPr>
        <a:xfrm>
          <a:off x="5099236" y="3510803"/>
          <a:ext cx="561975" cy="231962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zoomScaleNormal="100" zoomScaleSheetLayoutView="100" workbookViewId="0">
      <selection activeCell="A23" sqref="A23"/>
    </sheetView>
  </sheetViews>
  <sheetFormatPr baseColWidth="10" defaultRowHeight="13.2" x14ac:dyDescent="0.25"/>
  <cols>
    <col min="1" max="1" width="21.44140625" customWidth="1"/>
    <col min="3" max="3" width="3.6640625" customWidth="1"/>
  </cols>
  <sheetData>
    <row r="1" spans="1:3" ht="17.399999999999999" x14ac:dyDescent="0.3">
      <c r="A1" s="301" t="s">
        <v>196</v>
      </c>
    </row>
    <row r="3" spans="1:3" ht="18" customHeight="1" x14ac:dyDescent="0.25">
      <c r="A3" s="342" t="s">
        <v>194</v>
      </c>
      <c r="B3" s="343">
        <f>Personaleinsatzplan!AP15</f>
        <v>99.674199576000007</v>
      </c>
      <c r="C3" s="344" t="s">
        <v>187</v>
      </c>
    </row>
    <row r="4" spans="1:3" x14ac:dyDescent="0.25">
      <c r="A4" s="342" t="s">
        <v>294</v>
      </c>
      <c r="B4" s="343">
        <f>Personaleinsatzplan!AJ21</f>
        <v>53.058509279999996</v>
      </c>
      <c r="C4" s="344" t="s">
        <v>187</v>
      </c>
    </row>
    <row r="5" spans="1:3" x14ac:dyDescent="0.25">
      <c r="A5" s="342" t="s">
        <v>295</v>
      </c>
      <c r="B5" s="343">
        <f>Personaleinsatzplan!AD21</f>
        <v>90.957444480000007</v>
      </c>
      <c r="C5" s="344" t="s">
        <v>187</v>
      </c>
    </row>
    <row r="6" spans="1:3" x14ac:dyDescent="0.25">
      <c r="A6" s="342" t="s">
        <v>296</v>
      </c>
      <c r="B6" s="343">
        <f>Personaleinsatzplan!X21</f>
        <v>109.90691208000001</v>
      </c>
      <c r="C6" s="344" t="s">
        <v>187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zoomScaleNormal="100" workbookViewId="0">
      <selection activeCell="A23" sqref="A23"/>
    </sheetView>
  </sheetViews>
  <sheetFormatPr baseColWidth="10" defaultRowHeight="13.2" x14ac:dyDescent="0.25"/>
  <cols>
    <col min="1" max="1" width="25.6640625" customWidth="1"/>
    <col min="2" max="2" width="16.88671875" customWidth="1"/>
    <col min="3" max="3" width="13.33203125" customWidth="1"/>
  </cols>
  <sheetData>
    <row r="1" spans="1:4" ht="17.399999999999999" x14ac:dyDescent="0.3">
      <c r="A1" s="70" t="s">
        <v>195</v>
      </c>
    </row>
    <row r="3" spans="1:4" s="5" customFormat="1" ht="28.5" customHeight="1" x14ac:dyDescent="0.25">
      <c r="A3" s="314" t="s">
        <v>181</v>
      </c>
      <c r="B3" s="375" t="s">
        <v>268</v>
      </c>
      <c r="C3" s="376"/>
    </row>
    <row r="4" spans="1:4" s="5" customFormat="1" ht="20.100000000000001" customHeight="1" x14ac:dyDescent="0.25">
      <c r="A4" s="227" t="s">
        <v>62</v>
      </c>
      <c r="B4" s="312" t="s">
        <v>269</v>
      </c>
      <c r="C4" s="302"/>
    </row>
    <row r="5" spans="1:4" s="5" customFormat="1" ht="20.100000000000001" customHeight="1" x14ac:dyDescent="0.25">
      <c r="A5" s="227" t="s">
        <v>183</v>
      </c>
      <c r="B5" s="313">
        <v>11</v>
      </c>
      <c r="C5" s="336" t="s">
        <v>148</v>
      </c>
    </row>
    <row r="6" spans="1:4" s="5" customFormat="1" ht="20.100000000000001" customHeight="1" x14ac:dyDescent="0.25">
      <c r="A6" s="327" t="s">
        <v>230</v>
      </c>
      <c r="B6" s="313">
        <v>6000</v>
      </c>
      <c r="C6" s="337" t="s">
        <v>270</v>
      </c>
    </row>
    <row r="7" spans="1:4" s="5" customFormat="1" ht="20.100000000000001" customHeight="1" x14ac:dyDescent="0.25">
      <c r="A7" s="227" t="s">
        <v>184</v>
      </c>
      <c r="B7" s="313">
        <v>380</v>
      </c>
      <c r="C7" s="337" t="s">
        <v>271</v>
      </c>
      <c r="D7" s="338"/>
    </row>
    <row r="8" spans="1:4" s="5" customFormat="1" ht="20.100000000000001" customHeight="1" x14ac:dyDescent="0.25">
      <c r="A8" s="327" t="s">
        <v>100</v>
      </c>
      <c r="B8" s="328">
        <f>B6*B7</f>
        <v>2280000</v>
      </c>
      <c r="C8" s="227" t="s">
        <v>182</v>
      </c>
    </row>
  </sheetData>
  <mergeCells count="1">
    <mergeCell ref="B3:C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3"/>
  <sheetViews>
    <sheetView zoomScaleNormal="100" zoomScaleSheetLayoutView="70" workbookViewId="0">
      <selection activeCell="A23" sqref="A23"/>
    </sheetView>
  </sheetViews>
  <sheetFormatPr baseColWidth="10" defaultColWidth="11.44140625" defaultRowHeight="15" x14ac:dyDescent="0.25"/>
  <cols>
    <col min="1" max="1" width="8.33203125" style="42" customWidth="1"/>
    <col min="2" max="2" width="34.109375" style="42" customWidth="1"/>
    <col min="3" max="3" width="1" style="42" customWidth="1"/>
    <col min="4" max="4" width="11" style="42" customWidth="1"/>
    <col min="5" max="5" width="8.5546875" style="42" customWidth="1"/>
    <col min="6" max="6" width="14.44140625" style="42" customWidth="1"/>
    <col min="7" max="7" width="0.88671875" style="42" customWidth="1"/>
    <col min="8" max="8" width="23.5546875" style="42" customWidth="1"/>
    <col min="9" max="9" width="8.5546875" style="42" customWidth="1"/>
    <col min="10" max="16384" width="11.44140625" style="42"/>
  </cols>
  <sheetData>
    <row r="1" spans="1:9" ht="17.399999999999999" x14ac:dyDescent="0.3">
      <c r="A1" s="70" t="s">
        <v>211</v>
      </c>
      <c r="B1" s="41"/>
      <c r="C1" s="41"/>
      <c r="D1" s="41"/>
      <c r="E1" s="41"/>
      <c r="F1" s="41"/>
      <c r="G1" s="41"/>
      <c r="H1" s="41"/>
      <c r="I1" s="41"/>
    </row>
    <row r="2" spans="1:9" ht="8.25" customHeight="1" x14ac:dyDescent="0.25">
      <c r="A2" s="41"/>
      <c r="B2" s="41"/>
      <c r="C2" s="41"/>
      <c r="D2" s="41"/>
      <c r="E2" s="41"/>
      <c r="F2" s="41"/>
      <c r="G2" s="41"/>
      <c r="H2" s="41"/>
      <c r="I2" s="41"/>
    </row>
    <row r="3" spans="1:9" s="33" customFormat="1" ht="15.6" x14ac:dyDescent="0.3">
      <c r="A3" s="32" t="s">
        <v>61</v>
      </c>
      <c r="B3" s="32"/>
      <c r="C3" s="32"/>
      <c r="D3" s="377" t="str">
        <f>Projektannahmen!B3</f>
        <v>ABA BA 14, 6000 m Schmutz- und Regenwasserkanäle</v>
      </c>
      <c r="E3" s="377"/>
      <c r="F3" s="377"/>
      <c r="G3" s="377"/>
      <c r="H3" s="377"/>
      <c r="I3" s="377"/>
    </row>
    <row r="4" spans="1:9" s="33" customFormat="1" ht="15.6" x14ac:dyDescent="0.3">
      <c r="A4" s="32" t="s">
        <v>62</v>
      </c>
      <c r="B4" s="32"/>
      <c r="C4" s="32"/>
      <c r="D4" s="377" t="str">
        <f>Projektannahmen!B4</f>
        <v>AG 02</v>
      </c>
      <c r="E4" s="377"/>
      <c r="F4" s="377"/>
      <c r="G4" s="377"/>
      <c r="H4" s="377"/>
      <c r="I4" s="377"/>
    </row>
    <row r="5" spans="1:9" s="33" customFormat="1" ht="8.25" customHeight="1" x14ac:dyDescent="0.3">
      <c r="A5" s="32"/>
      <c r="B5" s="32"/>
      <c r="C5" s="32"/>
      <c r="D5" s="32"/>
      <c r="E5" s="32"/>
      <c r="F5" s="32"/>
      <c r="G5" s="41"/>
      <c r="H5" s="41"/>
      <c r="I5" s="32"/>
    </row>
    <row r="6" spans="1:9" s="33" customFormat="1" ht="16.2" thickBot="1" x14ac:dyDescent="0.35">
      <c r="A6" s="32"/>
      <c r="B6" s="32"/>
      <c r="C6" s="32"/>
      <c r="D6" s="378" t="s">
        <v>102</v>
      </c>
      <c r="E6" s="378"/>
      <c r="F6" s="378"/>
      <c r="G6" s="49"/>
      <c r="H6" s="378" t="s">
        <v>103</v>
      </c>
      <c r="I6" s="378"/>
    </row>
    <row r="7" spans="1:9" s="1" customFormat="1" ht="28.2" thickBot="1" x14ac:dyDescent="0.3">
      <c r="A7" s="66" t="s">
        <v>65</v>
      </c>
      <c r="B7" s="68" t="s">
        <v>66</v>
      </c>
      <c r="C7" s="49"/>
      <c r="D7" s="104" t="s">
        <v>104</v>
      </c>
      <c r="E7" s="67" t="s">
        <v>105</v>
      </c>
      <c r="F7" s="68" t="s">
        <v>75</v>
      </c>
      <c r="G7" s="75"/>
      <c r="H7" s="66" t="s">
        <v>119</v>
      </c>
      <c r="I7" s="68" t="s">
        <v>105</v>
      </c>
    </row>
    <row r="8" spans="1:9" s="51" customFormat="1" ht="8.25" customHeight="1" thickBot="1" x14ac:dyDescent="0.3">
      <c r="A8" s="52"/>
      <c r="B8" s="52"/>
      <c r="C8" s="52"/>
      <c r="D8" s="52"/>
      <c r="E8" s="52"/>
      <c r="F8" s="52"/>
      <c r="G8" s="52"/>
      <c r="H8" s="52"/>
      <c r="I8" s="52"/>
    </row>
    <row r="9" spans="1:9" s="84" customFormat="1" ht="19.5" customHeight="1" thickBot="1" x14ac:dyDescent="0.3">
      <c r="A9" s="62" t="s">
        <v>95</v>
      </c>
      <c r="B9" s="63"/>
      <c r="C9" s="85"/>
      <c r="D9" s="89" t="s">
        <v>106</v>
      </c>
      <c r="E9" s="90"/>
      <c r="F9" s="91">
        <v>2</v>
      </c>
      <c r="G9" s="85"/>
      <c r="H9" s="120"/>
      <c r="I9" s="63"/>
    </row>
    <row r="10" spans="1:9" s="51" customFormat="1" ht="7.5" customHeight="1" x14ac:dyDescent="0.25">
      <c r="A10" s="52"/>
      <c r="B10" s="52"/>
      <c r="C10" s="52"/>
      <c r="D10" s="52"/>
      <c r="E10" s="52"/>
      <c r="F10" s="52"/>
      <c r="G10" s="52"/>
      <c r="H10" s="52"/>
      <c r="I10" s="52"/>
    </row>
    <row r="11" spans="1:9" s="51" customFormat="1" ht="30.75" customHeight="1" x14ac:dyDescent="0.25">
      <c r="A11" s="71" t="s">
        <v>261</v>
      </c>
      <c r="B11" s="72" t="str">
        <f>Terminplan!B5</f>
        <v>Grundlagenanalyse</v>
      </c>
      <c r="C11" s="73"/>
      <c r="D11" s="74">
        <v>1</v>
      </c>
      <c r="E11" s="76">
        <v>2</v>
      </c>
      <c r="F11" s="255"/>
      <c r="G11" s="75"/>
      <c r="H11" s="256"/>
      <c r="I11" s="76">
        <v>0</v>
      </c>
    </row>
    <row r="12" spans="1:9" s="51" customFormat="1" ht="8.25" customHeight="1" thickBot="1" x14ac:dyDescent="0.3">
      <c r="A12" s="52"/>
      <c r="B12" s="52"/>
      <c r="C12" s="52"/>
      <c r="D12" s="52"/>
      <c r="E12" s="52"/>
      <c r="F12" s="52"/>
      <c r="G12" s="52"/>
      <c r="H12" s="52"/>
      <c r="I12" s="52"/>
    </row>
    <row r="13" spans="1:9" s="84" customFormat="1" ht="19.5" customHeight="1" thickBot="1" x14ac:dyDescent="0.3">
      <c r="A13" s="62" t="s">
        <v>96</v>
      </c>
      <c r="B13" s="63"/>
      <c r="C13" s="85"/>
      <c r="D13" s="89" t="str">
        <f>D9</f>
        <v>Dauer d. Phase [Mo]</v>
      </c>
      <c r="E13" s="90"/>
      <c r="F13" s="91">
        <v>4</v>
      </c>
      <c r="G13" s="85"/>
      <c r="H13" s="120"/>
      <c r="I13" s="63"/>
    </row>
    <row r="14" spans="1:9" s="51" customFormat="1" ht="7.5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</row>
    <row r="15" spans="1:9" s="51" customFormat="1" ht="30.75" customHeight="1" x14ac:dyDescent="0.25">
      <c r="A15" s="77" t="s">
        <v>262</v>
      </c>
      <c r="B15" s="72" t="str">
        <f>Terminplan!B6</f>
        <v>Vorentwurf</v>
      </c>
      <c r="C15" s="73"/>
      <c r="D15" s="74">
        <v>1</v>
      </c>
      <c r="E15" s="76">
        <v>1</v>
      </c>
      <c r="F15" s="255"/>
      <c r="G15" s="75"/>
      <c r="H15" s="256"/>
      <c r="I15" s="76">
        <v>0</v>
      </c>
    </row>
    <row r="16" spans="1:9" s="51" customFormat="1" ht="30.75" customHeight="1" x14ac:dyDescent="0.25">
      <c r="A16" s="77" t="s">
        <v>263</v>
      </c>
      <c r="B16" s="72" t="str">
        <f>Terminplan!B7</f>
        <v>Entwurf</v>
      </c>
      <c r="C16" s="73"/>
      <c r="D16" s="74">
        <v>1</v>
      </c>
      <c r="E16" s="76">
        <v>1</v>
      </c>
      <c r="F16" s="255"/>
      <c r="G16" s="75"/>
      <c r="H16" s="258"/>
      <c r="I16" s="78">
        <v>0</v>
      </c>
    </row>
    <row r="17" spans="1:9" s="51" customFormat="1" ht="30.75" customHeight="1" x14ac:dyDescent="0.25">
      <c r="A17" s="77" t="s">
        <v>264</v>
      </c>
      <c r="B17" s="72" t="str">
        <f>Terminplan!B8</f>
        <v>Einreichplanung</v>
      </c>
      <c r="C17" s="79"/>
      <c r="D17" s="74">
        <v>1</v>
      </c>
      <c r="E17" s="76">
        <v>2</v>
      </c>
      <c r="F17" s="255"/>
      <c r="G17" s="75"/>
      <c r="H17" s="258"/>
      <c r="I17" s="78">
        <v>0</v>
      </c>
    </row>
    <row r="18" spans="1:9" s="51" customFormat="1" ht="8.25" customHeight="1" thickBot="1" x14ac:dyDescent="0.3">
      <c r="A18" s="52"/>
      <c r="B18" s="52"/>
      <c r="C18" s="52"/>
      <c r="D18" s="52"/>
      <c r="E18" s="52"/>
      <c r="F18" s="52"/>
      <c r="G18" s="52"/>
      <c r="H18" s="52"/>
      <c r="I18" s="52"/>
    </row>
    <row r="19" spans="1:9" s="84" customFormat="1" ht="19.5" customHeight="1" thickBot="1" x14ac:dyDescent="0.3">
      <c r="A19" s="62" t="s">
        <v>82</v>
      </c>
      <c r="B19" s="63"/>
      <c r="C19" s="85"/>
      <c r="D19" s="89" t="str">
        <f>D9</f>
        <v>Dauer d. Phase [Mo]</v>
      </c>
      <c r="E19" s="90"/>
      <c r="F19" s="91">
        <v>2</v>
      </c>
      <c r="G19" s="85"/>
      <c r="H19" s="120"/>
      <c r="I19" s="63"/>
    </row>
    <row r="20" spans="1:9" s="51" customFormat="1" ht="7.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</row>
    <row r="21" spans="1:9" s="51" customFormat="1" ht="30.75" customHeight="1" x14ac:dyDescent="0.25">
      <c r="A21" s="77" t="s">
        <v>265</v>
      </c>
      <c r="B21" s="72" t="str">
        <f>Terminplan!B9</f>
        <v>Ausführungsplanung</v>
      </c>
      <c r="C21" s="79"/>
      <c r="D21" s="74">
        <v>1</v>
      </c>
      <c r="E21" s="76">
        <v>1</v>
      </c>
      <c r="F21" s="255"/>
      <c r="G21" s="75"/>
      <c r="H21" s="256"/>
      <c r="I21" s="76">
        <v>0</v>
      </c>
    </row>
    <row r="22" spans="1:9" s="51" customFormat="1" ht="30.75" customHeight="1" x14ac:dyDescent="0.25">
      <c r="A22" s="80" t="s">
        <v>246</v>
      </c>
      <c r="B22" s="72" t="str">
        <f>Terminplan!B10</f>
        <v>Ausschreibung (LVs)</v>
      </c>
      <c r="C22" s="79"/>
      <c r="D22" s="74">
        <v>1</v>
      </c>
      <c r="E22" s="76">
        <v>1</v>
      </c>
      <c r="F22" s="255"/>
      <c r="G22" s="75"/>
      <c r="H22" s="256"/>
      <c r="I22" s="76">
        <v>0</v>
      </c>
    </row>
    <row r="23" spans="1:9" s="51" customFormat="1" ht="30.75" customHeight="1" x14ac:dyDescent="0.25">
      <c r="A23" s="81" t="s">
        <v>234</v>
      </c>
      <c r="B23" s="72" t="str">
        <f>Terminplan!B11</f>
        <v>Mitwirkung an der Vergabe</v>
      </c>
      <c r="C23" s="79"/>
      <c r="D23" s="74">
        <v>1</v>
      </c>
      <c r="E23" s="76">
        <v>1</v>
      </c>
      <c r="F23" s="255"/>
      <c r="G23" s="75"/>
      <c r="H23" s="258"/>
      <c r="I23" s="78">
        <v>0</v>
      </c>
    </row>
    <row r="24" spans="1:9" s="51" customFormat="1" ht="8.25" customHeight="1" thickBot="1" x14ac:dyDescent="0.3">
      <c r="A24" s="52"/>
      <c r="B24" s="52"/>
      <c r="C24" s="52"/>
      <c r="D24" s="52"/>
      <c r="E24" s="52"/>
      <c r="F24" s="52"/>
      <c r="G24" s="52"/>
      <c r="H24" s="52"/>
      <c r="I24" s="52"/>
    </row>
    <row r="25" spans="1:9" s="84" customFormat="1" ht="19.5" customHeight="1" thickBot="1" x14ac:dyDescent="0.3">
      <c r="A25" s="62" t="s">
        <v>83</v>
      </c>
      <c r="B25" s="63"/>
      <c r="C25" s="85"/>
      <c r="D25" s="89" t="str">
        <f>D9</f>
        <v>Dauer d. Phase [Mo]</v>
      </c>
      <c r="E25" s="90"/>
      <c r="F25" s="91">
        <v>3</v>
      </c>
      <c r="G25" s="85"/>
      <c r="H25" s="120"/>
      <c r="I25" s="63"/>
    </row>
    <row r="26" spans="1:9" s="51" customFormat="1" ht="7.5" customHeight="1" x14ac:dyDescent="0.25">
      <c r="A26" s="52"/>
      <c r="B26" s="52"/>
      <c r="C26" s="52"/>
      <c r="D26" s="52"/>
      <c r="E26" s="52"/>
      <c r="F26" s="52"/>
      <c r="G26" s="52"/>
      <c r="H26" s="52"/>
      <c r="I26" s="52"/>
    </row>
    <row r="27" spans="1:9" s="51" customFormat="1" ht="30.75" customHeight="1" x14ac:dyDescent="0.25">
      <c r="A27" s="80" t="s">
        <v>266</v>
      </c>
      <c r="B27" s="57" t="str">
        <f>Terminplan!B12</f>
        <v>Begleitung der Bauausführung</v>
      </c>
      <c r="C27" s="79"/>
      <c r="D27" s="74">
        <v>1</v>
      </c>
      <c r="E27" s="76">
        <v>3</v>
      </c>
      <c r="F27" s="255"/>
      <c r="G27" s="75"/>
      <c r="H27" s="256"/>
      <c r="I27" s="76">
        <v>0</v>
      </c>
    </row>
    <row r="28" spans="1:9" s="1" customFormat="1" ht="8.25" customHeight="1" thickBot="1" x14ac:dyDescent="0.3">
      <c r="A28" s="49"/>
      <c r="B28" s="49"/>
      <c r="C28" s="49"/>
      <c r="D28" s="49"/>
      <c r="E28" s="49"/>
      <c r="F28" s="49"/>
      <c r="G28" s="49"/>
      <c r="H28" s="228"/>
      <c r="I28" s="49"/>
    </row>
    <row r="29" spans="1:9" s="84" customFormat="1" ht="19.5" customHeight="1" thickBot="1" x14ac:dyDescent="0.3">
      <c r="A29" s="62" t="s">
        <v>157</v>
      </c>
      <c r="B29" s="63"/>
      <c r="C29" s="85"/>
      <c r="D29" s="89" t="str">
        <f>D9</f>
        <v>Dauer d. Phase [Mo]</v>
      </c>
      <c r="E29" s="90"/>
      <c r="F29" s="91">
        <v>0</v>
      </c>
      <c r="G29" s="85"/>
      <c r="H29" s="120"/>
      <c r="I29" s="63"/>
    </row>
    <row r="30" spans="1:9" s="51" customFormat="1" ht="7.5" customHeight="1" x14ac:dyDescent="0.25">
      <c r="A30" s="52"/>
      <c r="B30" s="52"/>
      <c r="C30" s="52"/>
      <c r="D30" s="52"/>
      <c r="E30" s="52"/>
      <c r="F30" s="52"/>
      <c r="G30" s="52"/>
      <c r="H30" s="52"/>
      <c r="I30" s="52"/>
    </row>
    <row r="31" spans="1:9" s="51" customFormat="1" ht="30.75" customHeight="1" x14ac:dyDescent="0.25">
      <c r="A31" s="81" t="s">
        <v>267</v>
      </c>
      <c r="B31" s="82" t="str">
        <f>Terminplan!B13</f>
        <v>Objektbetreuung</v>
      </c>
      <c r="C31" s="79"/>
      <c r="D31" s="74">
        <v>0</v>
      </c>
      <c r="E31" s="76">
        <v>0</v>
      </c>
      <c r="F31" s="255"/>
      <c r="G31" s="75"/>
      <c r="H31" s="256"/>
      <c r="I31" s="76">
        <v>0</v>
      </c>
    </row>
    <row r="32" spans="1:9" s="1" customFormat="1" ht="8.25" customHeight="1" thickBot="1" x14ac:dyDescent="0.3">
      <c r="A32" s="49"/>
      <c r="B32" s="49"/>
      <c r="C32" s="49"/>
      <c r="D32" s="49"/>
      <c r="E32" s="49"/>
      <c r="F32" s="49"/>
      <c r="G32" s="49"/>
      <c r="H32" s="228"/>
      <c r="I32" s="49"/>
    </row>
    <row r="33" spans="1:9" ht="16.2" thickBot="1" x14ac:dyDescent="0.35">
      <c r="A33" s="229" t="s">
        <v>185</v>
      </c>
      <c r="B33" s="230"/>
      <c r="D33" s="49"/>
      <c r="E33" s="49"/>
      <c r="F33" s="257">
        <f>F9+F13+F19+F25+F29</f>
        <v>11</v>
      </c>
      <c r="G33" s="49"/>
      <c r="H33" s="228"/>
      <c r="I33" s="49"/>
    </row>
  </sheetData>
  <mergeCells count="4">
    <mergeCell ref="D3:I3"/>
    <mergeCell ref="D4:I4"/>
    <mergeCell ref="D6:F6"/>
    <mergeCell ref="H6:I6"/>
  </mergeCells>
  <phoneticPr fontId="3" type="noConversion"/>
  <printOptions horizontalCentered="1"/>
  <pageMargins left="0.39370078740157483" right="0.39370078740157483" top="0.78740157480314965" bottom="0.59055118110236227" header="0.51181102362204722" footer="0.31496062992125984"/>
  <pageSetup paperSize="9" scale="88" fitToHeight="0" orientation="portrait" horizontalDpi="300" r:id="rId1"/>
  <headerFooter alignWithMargins="0">
    <oddFooter>&amp;L&amp;8Leitfaden Kostenabschätzung von Planungsleistungen /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showGridLines="0" zoomScaleNormal="100" zoomScaleSheetLayoutView="145" workbookViewId="0">
      <selection activeCell="A23" sqref="A23"/>
    </sheetView>
  </sheetViews>
  <sheetFormatPr baseColWidth="10" defaultColWidth="11.5546875" defaultRowHeight="13.2" x14ac:dyDescent="0.25"/>
  <cols>
    <col min="1" max="1" width="7" style="122" customWidth="1"/>
    <col min="2" max="2" width="31.6640625" style="122" customWidth="1"/>
    <col min="3" max="3" width="1.88671875" style="122" customWidth="1"/>
    <col min="4" max="9" width="5.44140625" style="122" customWidth="1"/>
    <col min="10" max="14" width="5.44140625" style="123" customWidth="1"/>
    <col min="15" max="15" width="8" style="123" customWidth="1"/>
    <col min="16" max="16384" width="11.5546875" style="122"/>
  </cols>
  <sheetData>
    <row r="1" spans="1:15" ht="37.950000000000003" customHeight="1" thickBot="1" x14ac:dyDescent="0.3"/>
    <row r="2" spans="1:15" ht="46.95" customHeight="1" thickBot="1" x14ac:dyDescent="0.3">
      <c r="A2" s="380" t="s">
        <v>212</v>
      </c>
      <c r="B2" s="381"/>
      <c r="D2" s="379" t="s">
        <v>140</v>
      </c>
      <c r="E2" s="379"/>
      <c r="F2" s="379" t="s">
        <v>141</v>
      </c>
      <c r="G2" s="379"/>
      <c r="H2" s="379"/>
      <c r="I2" s="379"/>
      <c r="J2" s="379" t="s">
        <v>142</v>
      </c>
      <c r="K2" s="379"/>
      <c r="L2" s="379" t="s">
        <v>143</v>
      </c>
      <c r="M2" s="379"/>
      <c r="N2" s="379"/>
      <c r="O2" s="135" t="s">
        <v>144</v>
      </c>
    </row>
    <row r="3" spans="1:15" ht="6" customHeight="1" x14ac:dyDescent="0.25"/>
    <row r="4" spans="1:15" x14ac:dyDescent="0.25">
      <c r="B4" s="124" t="s">
        <v>145</v>
      </c>
      <c r="D4" s="124">
        <v>1</v>
      </c>
      <c r="E4" s="124">
        <v>2</v>
      </c>
      <c r="F4" s="124">
        <v>3</v>
      </c>
      <c r="G4" s="124">
        <v>4</v>
      </c>
      <c r="H4" s="124">
        <v>5</v>
      </c>
      <c r="I4" s="124">
        <v>6</v>
      </c>
      <c r="J4" s="124">
        <v>7</v>
      </c>
      <c r="K4" s="124">
        <v>8</v>
      </c>
      <c r="L4" s="124">
        <v>9</v>
      </c>
      <c r="M4" s="124">
        <v>10</v>
      </c>
      <c r="N4" s="124">
        <v>11</v>
      </c>
      <c r="O4" s="124">
        <v>12</v>
      </c>
    </row>
    <row r="5" spans="1:15" x14ac:dyDescent="0.25">
      <c r="A5" s="332" t="s">
        <v>261</v>
      </c>
      <c r="B5" s="326" t="s">
        <v>231</v>
      </c>
      <c r="D5" s="125"/>
      <c r="E5" s="125"/>
      <c r="F5" s="127"/>
      <c r="G5" s="128"/>
      <c r="H5" s="128"/>
      <c r="I5" s="128"/>
      <c r="J5" s="128"/>
      <c r="K5" s="128"/>
      <c r="L5" s="128"/>
      <c r="M5" s="128"/>
      <c r="N5" s="128"/>
      <c r="O5" s="128"/>
    </row>
    <row r="6" spans="1:15" x14ac:dyDescent="0.25">
      <c r="A6" s="332" t="s">
        <v>262</v>
      </c>
      <c r="B6" s="326" t="s">
        <v>238</v>
      </c>
      <c r="D6" s="127"/>
      <c r="E6" s="127"/>
      <c r="F6" s="130"/>
      <c r="G6" s="127"/>
      <c r="H6" s="128"/>
      <c r="I6" s="128"/>
      <c r="J6" s="129"/>
      <c r="K6" s="127"/>
      <c r="L6" s="126"/>
      <c r="M6" s="126"/>
      <c r="N6" s="126"/>
      <c r="O6" s="126"/>
    </row>
    <row r="7" spans="1:15" x14ac:dyDescent="0.25">
      <c r="A7" s="332" t="s">
        <v>263</v>
      </c>
      <c r="B7" s="326" t="s">
        <v>239</v>
      </c>
      <c r="D7" s="127"/>
      <c r="E7" s="127"/>
      <c r="F7" s="126"/>
      <c r="G7" s="125"/>
      <c r="H7" s="128"/>
      <c r="I7" s="128"/>
      <c r="J7" s="129"/>
      <c r="K7" s="127"/>
      <c r="L7" s="126"/>
      <c r="M7" s="126"/>
      <c r="N7" s="126"/>
      <c r="O7" s="126"/>
    </row>
    <row r="8" spans="1:15" x14ac:dyDescent="0.25">
      <c r="A8" s="332" t="s">
        <v>264</v>
      </c>
      <c r="B8" s="326" t="s">
        <v>241</v>
      </c>
      <c r="D8" s="127"/>
      <c r="E8" s="127"/>
      <c r="F8" s="126"/>
      <c r="G8" s="126"/>
      <c r="H8" s="131"/>
      <c r="I8" s="131"/>
      <c r="J8" s="129"/>
      <c r="K8" s="127"/>
      <c r="L8" s="132"/>
      <c r="M8" s="132"/>
      <c r="N8" s="132"/>
      <c r="O8" s="132"/>
    </row>
    <row r="9" spans="1:15" x14ac:dyDescent="0.25">
      <c r="A9" s="332" t="s">
        <v>265</v>
      </c>
      <c r="B9" s="326" t="s">
        <v>243</v>
      </c>
      <c r="D9" s="127"/>
      <c r="E9" s="127"/>
      <c r="F9" s="126"/>
      <c r="G9" s="127"/>
      <c r="H9" s="128"/>
      <c r="I9" s="128"/>
      <c r="J9" s="130"/>
      <c r="K9" s="127"/>
      <c r="L9" s="126"/>
      <c r="M9" s="126"/>
      <c r="N9" s="126"/>
      <c r="O9" s="126"/>
    </row>
    <row r="10" spans="1:15" x14ac:dyDescent="0.25">
      <c r="A10" s="332" t="s">
        <v>246</v>
      </c>
      <c r="B10" s="326" t="s">
        <v>245</v>
      </c>
      <c r="D10" s="127"/>
      <c r="E10" s="127"/>
      <c r="F10" s="126"/>
      <c r="G10" s="127"/>
      <c r="H10" s="128"/>
      <c r="I10" s="128"/>
      <c r="J10" s="130"/>
      <c r="K10" s="127"/>
      <c r="L10" s="133"/>
      <c r="M10" s="133"/>
      <c r="N10" s="133"/>
      <c r="O10" s="133"/>
    </row>
    <row r="11" spans="1:15" x14ac:dyDescent="0.25">
      <c r="A11" s="332" t="s">
        <v>234</v>
      </c>
      <c r="B11" s="326" t="s">
        <v>233</v>
      </c>
      <c r="D11" s="127"/>
      <c r="E11" s="127"/>
      <c r="F11" s="126"/>
      <c r="G11" s="127"/>
      <c r="H11" s="128"/>
      <c r="I11" s="128"/>
      <c r="J11" s="129"/>
      <c r="K11" s="125"/>
      <c r="L11" s="126"/>
      <c r="M11" s="132"/>
      <c r="N11" s="132"/>
      <c r="O11" s="126"/>
    </row>
    <row r="12" spans="1:15" x14ac:dyDescent="0.25">
      <c r="A12" s="332" t="s">
        <v>266</v>
      </c>
      <c r="B12" s="326" t="s">
        <v>247</v>
      </c>
      <c r="D12" s="127"/>
      <c r="E12" s="127"/>
      <c r="F12" s="126"/>
      <c r="G12" s="127"/>
      <c r="H12" s="128"/>
      <c r="I12" s="128"/>
      <c r="J12" s="129"/>
      <c r="K12" s="127"/>
      <c r="L12" s="130"/>
      <c r="M12" s="130"/>
      <c r="N12" s="130"/>
      <c r="O12" s="126"/>
    </row>
    <row r="13" spans="1:15" x14ac:dyDescent="0.25">
      <c r="A13" s="335" t="s">
        <v>267</v>
      </c>
      <c r="B13" s="326" t="s">
        <v>235</v>
      </c>
      <c r="D13" s="127"/>
      <c r="E13" s="126"/>
      <c r="F13" s="127"/>
      <c r="G13" s="128"/>
      <c r="H13" s="128"/>
      <c r="I13" s="129"/>
      <c r="J13" s="127"/>
      <c r="K13" s="126"/>
      <c r="L13" s="126"/>
      <c r="M13" s="126"/>
      <c r="N13" s="126"/>
      <c r="O13" s="126"/>
    </row>
    <row r="14" spans="1:15" ht="3.75" customHeight="1" x14ac:dyDescent="0.25">
      <c r="A14" s="333"/>
      <c r="N14" s="122"/>
    </row>
    <row r="15" spans="1:15" customFormat="1" ht="6" customHeight="1" x14ac:dyDescent="0.25">
      <c r="A15" s="47"/>
    </row>
    <row r="17" spans="10:14" x14ac:dyDescent="0.25">
      <c r="J17" s="122"/>
      <c r="K17" s="122"/>
      <c r="L17" s="122"/>
      <c r="M17" s="122"/>
      <c r="N17" s="122"/>
    </row>
  </sheetData>
  <mergeCells count="5">
    <mergeCell ref="J2:K2"/>
    <mergeCell ref="L2:N2"/>
    <mergeCell ref="F2:I2"/>
    <mergeCell ref="A2:B2"/>
    <mergeCell ref="D2:E2"/>
  </mergeCells>
  <phoneticPr fontId="3" type="noConversion"/>
  <pageMargins left="0.78740157499999996" right="0.78740157499999996" top="0.984251969" bottom="0.984251969" header="0.4921259845" footer="0.4921259845"/>
  <pageSetup paperSize="9" scale="78" orientation="portrait" r:id="rId1"/>
  <headerFooter alignWithMargins="0"/>
  <colBreaks count="1" manualBreakCount="1">
    <brk id="1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1"/>
  <sheetViews>
    <sheetView showGridLines="0" zoomScaleNormal="100" zoomScaleSheetLayoutView="100" workbookViewId="0">
      <selection activeCell="A23" sqref="A23"/>
    </sheetView>
  </sheetViews>
  <sheetFormatPr baseColWidth="10" defaultColWidth="11.44140625" defaultRowHeight="13.2" x14ac:dyDescent="0.25"/>
  <cols>
    <col min="1" max="1" width="2.44140625" style="2" customWidth="1"/>
    <col min="2" max="2" width="30.33203125" style="19" customWidth="1"/>
    <col min="3" max="3" width="7.88671875" style="19" customWidth="1"/>
    <col min="4" max="4" width="9.44140625" style="19" customWidth="1"/>
    <col min="5" max="5" width="8.6640625" style="19" customWidth="1"/>
    <col min="6" max="6" width="0.6640625" style="19" customWidth="1"/>
    <col min="7" max="7" width="33.6640625" style="10" customWidth="1"/>
    <col min="8" max="8" width="0.88671875" style="19" customWidth="1"/>
    <col min="9" max="9" width="59" style="6" customWidth="1"/>
    <col min="10" max="16384" width="11.44140625" style="2"/>
  </cols>
  <sheetData>
    <row r="1" spans="1:9" ht="17.399999999999999" x14ac:dyDescent="0.25">
      <c r="A1" s="69" t="s">
        <v>213</v>
      </c>
      <c r="B1" s="28"/>
      <c r="C1" s="28"/>
      <c r="D1" s="28"/>
      <c r="E1" s="28"/>
      <c r="F1" s="28"/>
      <c r="G1" s="27"/>
      <c r="H1" s="28"/>
    </row>
    <row r="2" spans="1:9" x14ac:dyDescent="0.25">
      <c r="A2" s="4"/>
      <c r="B2" s="28"/>
      <c r="C2" s="28"/>
      <c r="D2" s="28"/>
      <c r="E2" s="28"/>
      <c r="F2" s="28"/>
      <c r="G2" s="27"/>
      <c r="H2" s="28"/>
    </row>
    <row r="3" spans="1:9" s="3" customFormat="1" ht="15" customHeight="1" x14ac:dyDescent="0.25">
      <c r="A3" s="23"/>
      <c r="B3" s="25" t="s">
        <v>5</v>
      </c>
      <c r="C3" s="26" t="s">
        <v>0</v>
      </c>
      <c r="D3" s="26" t="s">
        <v>80</v>
      </c>
      <c r="E3" s="26" t="s">
        <v>1</v>
      </c>
      <c r="F3" s="28"/>
      <c r="G3" s="35"/>
      <c r="H3" s="26"/>
      <c r="I3" s="264" t="s">
        <v>89</v>
      </c>
    </row>
    <row r="4" spans="1:9" s="7" customFormat="1" ht="27" thickBot="1" x14ac:dyDescent="0.3">
      <c r="A4" s="7" t="s">
        <v>6</v>
      </c>
      <c r="B4" s="8" t="s">
        <v>7</v>
      </c>
      <c r="C4" s="263">
        <v>1</v>
      </c>
      <c r="D4" s="260">
        <f>AVERAGE(D5:D8)</f>
        <v>11.333333333333334</v>
      </c>
      <c r="E4" s="263">
        <v>30</v>
      </c>
      <c r="F4" s="28"/>
      <c r="G4" s="36" t="s">
        <v>79</v>
      </c>
      <c r="H4" s="26"/>
      <c r="I4" s="9"/>
    </row>
    <row r="5" spans="1:9" s="10" customFormat="1" ht="41.25" customHeight="1" thickBot="1" x14ac:dyDescent="0.3">
      <c r="A5" s="27"/>
      <c r="B5" s="11" t="s">
        <v>8</v>
      </c>
      <c r="C5" s="261" t="s">
        <v>9</v>
      </c>
      <c r="D5" s="339">
        <v>12</v>
      </c>
      <c r="E5" s="262" t="s">
        <v>10</v>
      </c>
      <c r="F5" s="28"/>
      <c r="G5" s="341" t="s">
        <v>272</v>
      </c>
      <c r="H5" s="30"/>
      <c r="I5" s="287" t="s">
        <v>88</v>
      </c>
    </row>
    <row r="6" spans="1:9" s="10" customFormat="1" ht="29.25" customHeight="1" thickBot="1" x14ac:dyDescent="0.3">
      <c r="A6" s="27"/>
      <c r="B6" s="11" t="s">
        <v>11</v>
      </c>
      <c r="C6" s="12" t="s">
        <v>12</v>
      </c>
      <c r="D6" s="340">
        <v>12</v>
      </c>
      <c r="E6" s="13" t="s">
        <v>13</v>
      </c>
      <c r="F6" s="28"/>
      <c r="G6" s="341" t="s">
        <v>273</v>
      </c>
      <c r="H6" s="30"/>
      <c r="I6" s="287" t="s">
        <v>14</v>
      </c>
    </row>
    <row r="7" spans="1:9" s="10" customFormat="1" ht="15.75" customHeight="1" thickBot="1" x14ac:dyDescent="0.3">
      <c r="A7" s="27"/>
      <c r="B7" s="11" t="s">
        <v>15</v>
      </c>
      <c r="C7" s="12" t="s">
        <v>10</v>
      </c>
      <c r="D7" s="340">
        <v>10</v>
      </c>
      <c r="E7" s="13" t="s">
        <v>9</v>
      </c>
      <c r="F7" s="28"/>
      <c r="G7" s="341"/>
      <c r="H7" s="30"/>
      <c r="I7" s="287" t="s">
        <v>16</v>
      </c>
    </row>
    <row r="8" spans="1:9" s="10" customFormat="1" ht="15" customHeight="1" thickBot="1" x14ac:dyDescent="0.3">
      <c r="A8" s="27"/>
      <c r="B8" s="87" t="s">
        <v>17</v>
      </c>
      <c r="C8" s="12"/>
      <c r="D8" s="340"/>
      <c r="E8" s="13"/>
      <c r="F8" s="28"/>
      <c r="G8" s="341"/>
      <c r="H8" s="30"/>
      <c r="I8" s="287" t="s">
        <v>18</v>
      </c>
    </row>
    <row r="9" spans="1:9" x14ac:dyDescent="0.25">
      <c r="A9" s="4"/>
      <c r="B9" s="28"/>
      <c r="C9" s="28"/>
      <c r="D9" s="28"/>
      <c r="E9" s="28"/>
      <c r="F9" s="28"/>
      <c r="G9" s="27"/>
      <c r="H9" s="28"/>
    </row>
    <row r="10" spans="1:9" s="7" customFormat="1" x14ac:dyDescent="0.25">
      <c r="A10" s="7" t="s">
        <v>19</v>
      </c>
      <c r="B10" s="8" t="s">
        <v>20</v>
      </c>
      <c r="C10" s="263">
        <v>1</v>
      </c>
      <c r="D10" s="14">
        <v>5</v>
      </c>
      <c r="E10" s="263">
        <v>30</v>
      </c>
      <c r="F10" s="28"/>
      <c r="G10" s="341"/>
      <c r="H10" s="26"/>
      <c r="I10" s="9"/>
    </row>
    <row r="11" spans="1:9" x14ac:dyDescent="0.25">
      <c r="B11" s="28"/>
      <c r="C11" s="28"/>
      <c r="D11" s="28"/>
      <c r="E11" s="28"/>
      <c r="F11" s="28"/>
      <c r="G11" s="27"/>
      <c r="H11" s="28"/>
    </row>
    <row r="12" spans="1:9" s="7" customFormat="1" ht="27" thickBot="1" x14ac:dyDescent="0.3">
      <c r="A12" s="7" t="s">
        <v>21</v>
      </c>
      <c r="B12" s="8" t="s">
        <v>22</v>
      </c>
      <c r="C12" s="263">
        <f>$C$4</f>
        <v>1</v>
      </c>
      <c r="D12" s="260">
        <f>AVERAGE(D13:D17)</f>
        <v>8.75</v>
      </c>
      <c r="E12" s="263">
        <f>$E$4</f>
        <v>30</v>
      </c>
      <c r="F12" s="28"/>
      <c r="G12" s="36"/>
      <c r="H12" s="26"/>
      <c r="I12" s="9"/>
    </row>
    <row r="13" spans="1:9" s="10" customFormat="1" ht="40.200000000000003" thickBot="1" x14ac:dyDescent="0.3">
      <c r="A13" s="27"/>
      <c r="B13" s="11" t="s">
        <v>23</v>
      </c>
      <c r="C13" s="261" t="s">
        <v>24</v>
      </c>
      <c r="D13" s="339">
        <v>8</v>
      </c>
      <c r="E13" s="262" t="s">
        <v>10</v>
      </c>
      <c r="F13" s="28"/>
      <c r="G13" s="341"/>
      <c r="H13" s="30"/>
      <c r="I13" s="287" t="s">
        <v>25</v>
      </c>
    </row>
    <row r="14" spans="1:9" s="10" customFormat="1" ht="18.75" customHeight="1" thickBot="1" x14ac:dyDescent="0.3">
      <c r="A14" s="27"/>
      <c r="B14" s="11" t="s">
        <v>26</v>
      </c>
      <c r="C14" s="12" t="s">
        <v>9</v>
      </c>
      <c r="D14" s="340">
        <v>10</v>
      </c>
      <c r="E14" s="13" t="s">
        <v>10</v>
      </c>
      <c r="F14" s="28"/>
      <c r="G14" s="341" t="s">
        <v>274</v>
      </c>
      <c r="H14" s="30"/>
      <c r="I14" s="287" t="s">
        <v>27</v>
      </c>
    </row>
    <row r="15" spans="1:9" s="10" customFormat="1" ht="30" customHeight="1" thickBot="1" x14ac:dyDescent="0.3">
      <c r="A15" s="27"/>
      <c r="B15" s="11" t="s">
        <v>28</v>
      </c>
      <c r="C15" s="12" t="s">
        <v>9</v>
      </c>
      <c r="D15" s="340">
        <v>7</v>
      </c>
      <c r="E15" s="13" t="s">
        <v>10</v>
      </c>
      <c r="F15" s="28"/>
      <c r="G15" s="341" t="s">
        <v>275</v>
      </c>
      <c r="H15" s="30"/>
      <c r="I15" s="287" t="s">
        <v>29</v>
      </c>
    </row>
    <row r="16" spans="1:9" s="10" customFormat="1" ht="27.75" customHeight="1" thickBot="1" x14ac:dyDescent="0.3">
      <c r="A16" s="27"/>
      <c r="B16" s="11" t="s">
        <v>30</v>
      </c>
      <c r="C16" s="12" t="s">
        <v>12</v>
      </c>
      <c r="D16" s="340">
        <v>10</v>
      </c>
      <c r="E16" s="13" t="s">
        <v>13</v>
      </c>
      <c r="F16" s="28"/>
      <c r="G16" s="341" t="s">
        <v>276</v>
      </c>
      <c r="H16" s="30"/>
      <c r="I16" s="287" t="s">
        <v>31</v>
      </c>
    </row>
    <row r="17" spans="1:9" s="10" customFormat="1" ht="14.25" customHeight="1" thickBot="1" x14ac:dyDescent="0.3">
      <c r="A17" s="27"/>
      <c r="B17" s="87" t="s">
        <v>32</v>
      </c>
      <c r="C17" s="12"/>
      <c r="D17" s="340"/>
      <c r="E17" s="13"/>
      <c r="F17" s="28"/>
      <c r="G17" s="341"/>
      <c r="H17" s="30"/>
      <c r="I17" s="287" t="s">
        <v>18</v>
      </c>
    </row>
    <row r="18" spans="1:9" x14ac:dyDescent="0.25">
      <c r="A18" s="4"/>
      <c r="B18" s="28"/>
      <c r="C18" s="28"/>
      <c r="D18" s="28"/>
      <c r="E18" s="28"/>
      <c r="F18" s="28"/>
      <c r="G18" s="27"/>
      <c r="H18" s="28"/>
    </row>
    <row r="19" spans="1:9" s="3" customFormat="1" ht="15" customHeight="1" x14ac:dyDescent="0.25">
      <c r="A19" s="23"/>
      <c r="B19" s="25" t="s">
        <v>5</v>
      </c>
      <c r="C19" s="26" t="s">
        <v>0</v>
      </c>
      <c r="D19" s="26" t="s">
        <v>80</v>
      </c>
      <c r="E19" s="26" t="s">
        <v>1</v>
      </c>
      <c r="F19" s="28"/>
      <c r="G19" s="35"/>
      <c r="H19" s="26"/>
      <c r="I19" s="6"/>
    </row>
    <row r="20" spans="1:9" s="15" customFormat="1" ht="13.8" thickBot="1" x14ac:dyDescent="0.3">
      <c r="A20" s="15" t="s">
        <v>33</v>
      </c>
      <c r="B20" s="16" t="s">
        <v>34</v>
      </c>
      <c r="C20" s="263">
        <f>$C$4</f>
        <v>1</v>
      </c>
      <c r="D20" s="260">
        <f>AVERAGE(D21:D26)</f>
        <v>9.1999999999999993</v>
      </c>
      <c r="E20" s="263">
        <f>$E$4</f>
        <v>30</v>
      </c>
      <c r="F20" s="28"/>
      <c r="G20" s="36"/>
      <c r="H20" s="26"/>
      <c r="I20" s="17"/>
    </row>
    <row r="21" spans="1:9" s="10" customFormat="1" ht="17.25" customHeight="1" thickBot="1" x14ac:dyDescent="0.3">
      <c r="A21" s="27"/>
      <c r="B21" s="11" t="s">
        <v>35</v>
      </c>
      <c r="C21" s="261" t="s">
        <v>24</v>
      </c>
      <c r="D21" s="339">
        <v>8</v>
      </c>
      <c r="E21" s="262" t="s">
        <v>10</v>
      </c>
      <c r="F21" s="28"/>
      <c r="G21" s="341"/>
      <c r="H21" s="30"/>
      <c r="I21" s="287" t="s">
        <v>36</v>
      </c>
    </row>
    <row r="22" spans="1:9" s="10" customFormat="1" ht="27.75" customHeight="1" thickBot="1" x14ac:dyDescent="0.3">
      <c r="A22" s="27"/>
      <c r="B22" s="11" t="s">
        <v>37</v>
      </c>
      <c r="C22" s="12" t="s">
        <v>24</v>
      </c>
      <c r="D22" s="340">
        <v>10</v>
      </c>
      <c r="E22" s="13" t="s">
        <v>10</v>
      </c>
      <c r="F22" s="28"/>
      <c r="G22" s="341" t="s">
        <v>277</v>
      </c>
      <c r="H22" s="30"/>
      <c r="I22" s="287" t="s">
        <v>38</v>
      </c>
    </row>
    <row r="23" spans="1:9" s="10" customFormat="1" ht="27" thickBot="1" x14ac:dyDescent="0.3">
      <c r="A23" s="27"/>
      <c r="B23" s="11" t="s">
        <v>39</v>
      </c>
      <c r="C23" s="12" t="s">
        <v>24</v>
      </c>
      <c r="D23" s="340">
        <v>8</v>
      </c>
      <c r="E23" s="13" t="s">
        <v>10</v>
      </c>
      <c r="F23" s="28"/>
      <c r="G23" s="341" t="s">
        <v>278</v>
      </c>
      <c r="H23" s="30"/>
      <c r="I23" s="287" t="s">
        <v>40</v>
      </c>
    </row>
    <row r="24" spans="1:9" s="10" customFormat="1" ht="13.8" thickBot="1" x14ac:dyDescent="0.3">
      <c r="A24" s="27"/>
      <c r="B24" s="11" t="s">
        <v>41</v>
      </c>
      <c r="C24" s="12" t="s">
        <v>24</v>
      </c>
      <c r="D24" s="340">
        <v>10</v>
      </c>
      <c r="E24" s="13" t="s">
        <v>10</v>
      </c>
      <c r="F24" s="28"/>
      <c r="G24" s="341" t="s">
        <v>279</v>
      </c>
      <c r="H24" s="30"/>
      <c r="I24" s="287" t="s">
        <v>42</v>
      </c>
    </row>
    <row r="25" spans="1:9" s="10" customFormat="1" ht="16.5" customHeight="1" thickBot="1" x14ac:dyDescent="0.3">
      <c r="A25" s="27"/>
      <c r="B25" s="11" t="s">
        <v>43</v>
      </c>
      <c r="C25" s="12" t="s">
        <v>24</v>
      </c>
      <c r="D25" s="340">
        <v>10</v>
      </c>
      <c r="E25" s="13" t="s">
        <v>10</v>
      </c>
      <c r="F25" s="28"/>
      <c r="G25" s="341" t="s">
        <v>280</v>
      </c>
      <c r="H25" s="30"/>
      <c r="I25" s="287" t="s">
        <v>44</v>
      </c>
    </row>
    <row r="26" spans="1:9" s="10" customFormat="1" ht="15" customHeight="1" thickBot="1" x14ac:dyDescent="0.3">
      <c r="A26" s="27"/>
      <c r="B26" s="87" t="s">
        <v>45</v>
      </c>
      <c r="C26" s="12"/>
      <c r="D26" s="340"/>
      <c r="E26" s="13"/>
      <c r="F26" s="28"/>
      <c r="G26" s="341"/>
      <c r="H26" s="30"/>
      <c r="I26" s="287" t="s">
        <v>18</v>
      </c>
    </row>
    <row r="27" spans="1:9" x14ac:dyDescent="0.25">
      <c r="A27" s="4"/>
      <c r="B27" s="28"/>
      <c r="C27" s="28"/>
      <c r="D27" s="28"/>
      <c r="E27" s="28"/>
      <c r="F27" s="28"/>
      <c r="G27" s="27"/>
      <c r="H27" s="28"/>
    </row>
    <row r="28" spans="1:9" s="15" customFormat="1" ht="27" thickBot="1" x14ac:dyDescent="0.3">
      <c r="A28" s="15" t="s">
        <v>46</v>
      </c>
      <c r="B28" s="16" t="s">
        <v>47</v>
      </c>
      <c r="C28" s="263">
        <f>$C$4</f>
        <v>1</v>
      </c>
      <c r="D28" s="260">
        <f>AVERAGE(D29:D31)</f>
        <v>8.5</v>
      </c>
      <c r="E28" s="263">
        <f>$E$4</f>
        <v>30</v>
      </c>
      <c r="F28" s="28"/>
      <c r="G28" s="36"/>
      <c r="H28" s="26"/>
      <c r="I28" s="18"/>
    </row>
    <row r="29" spans="1:9" s="10" customFormat="1" ht="17.25" customHeight="1" thickBot="1" x14ac:dyDescent="0.3">
      <c r="A29" s="27"/>
      <c r="B29" s="11" t="s">
        <v>48</v>
      </c>
      <c r="C29" s="261" t="s">
        <v>49</v>
      </c>
      <c r="D29" s="339">
        <v>9</v>
      </c>
      <c r="E29" s="262" t="s">
        <v>50</v>
      </c>
      <c r="F29" s="28"/>
      <c r="G29" s="341" t="s">
        <v>281</v>
      </c>
      <c r="H29" s="30"/>
      <c r="I29" s="287" t="s">
        <v>51</v>
      </c>
    </row>
    <row r="30" spans="1:9" s="10" customFormat="1" ht="27" thickBot="1" x14ac:dyDescent="0.3">
      <c r="A30" s="27"/>
      <c r="B30" s="11" t="s">
        <v>52</v>
      </c>
      <c r="C30" s="12" t="s">
        <v>139</v>
      </c>
      <c r="D30" s="340">
        <v>8</v>
      </c>
      <c r="E30" s="13" t="s">
        <v>53</v>
      </c>
      <c r="F30" s="28"/>
      <c r="G30" s="341" t="s">
        <v>282</v>
      </c>
      <c r="H30" s="30"/>
      <c r="I30" s="287" t="s">
        <v>54</v>
      </c>
    </row>
    <row r="31" spans="1:9" s="10" customFormat="1" ht="13.5" customHeight="1" thickBot="1" x14ac:dyDescent="0.3">
      <c r="A31" s="27"/>
      <c r="B31" s="87" t="s">
        <v>32</v>
      </c>
      <c r="C31" s="12"/>
      <c r="D31" s="340"/>
      <c r="E31" s="13"/>
      <c r="F31" s="28"/>
      <c r="G31" s="341"/>
      <c r="H31" s="30"/>
      <c r="I31" s="287" t="s">
        <v>18</v>
      </c>
    </row>
    <row r="32" spans="1:9" x14ac:dyDescent="0.25">
      <c r="A32" s="4"/>
      <c r="B32" s="28"/>
      <c r="C32" s="28"/>
      <c r="D32" s="28"/>
      <c r="E32" s="28"/>
      <c r="F32" s="28"/>
      <c r="G32" s="34"/>
      <c r="H32" s="28"/>
    </row>
    <row r="33" spans="1:9" s="15" customFormat="1" ht="27" thickBot="1" x14ac:dyDescent="0.3">
      <c r="A33" s="15" t="s">
        <v>55</v>
      </c>
      <c r="B33" s="16" t="s">
        <v>56</v>
      </c>
      <c r="C33" s="263">
        <f>$C$4</f>
        <v>1</v>
      </c>
      <c r="D33" s="260">
        <f>AVERAGE(D34:D36)</f>
        <v>9</v>
      </c>
      <c r="E33" s="263">
        <f>$E$4</f>
        <v>30</v>
      </c>
      <c r="F33" s="28"/>
      <c r="G33" s="36"/>
      <c r="H33" s="26"/>
      <c r="I33" s="17"/>
    </row>
    <row r="34" spans="1:9" s="10" customFormat="1" ht="15" customHeight="1" thickBot="1" x14ac:dyDescent="0.3">
      <c r="A34" s="27"/>
      <c r="B34" s="11" t="s">
        <v>57</v>
      </c>
      <c r="C34" s="261" t="s">
        <v>24</v>
      </c>
      <c r="D34" s="339">
        <v>10</v>
      </c>
      <c r="E34" s="262" t="s">
        <v>10</v>
      </c>
      <c r="F34" s="28"/>
      <c r="G34" s="341" t="s">
        <v>283</v>
      </c>
      <c r="H34" s="30"/>
      <c r="I34" s="287" t="s">
        <v>58</v>
      </c>
    </row>
    <row r="35" spans="1:9" s="10" customFormat="1" ht="15.75" customHeight="1" thickBot="1" x14ac:dyDescent="0.3">
      <c r="A35" s="27"/>
      <c r="B35" s="11" t="s">
        <v>59</v>
      </c>
      <c r="C35" s="12" t="s">
        <v>24</v>
      </c>
      <c r="D35" s="340">
        <v>8</v>
      </c>
      <c r="E35" s="13" t="s">
        <v>10</v>
      </c>
      <c r="F35" s="28"/>
      <c r="G35" s="341" t="s">
        <v>284</v>
      </c>
      <c r="H35" s="30"/>
      <c r="I35" s="287" t="s">
        <v>60</v>
      </c>
    </row>
    <row r="36" spans="1:9" s="10" customFormat="1" ht="15.75" customHeight="1" thickBot="1" x14ac:dyDescent="0.3">
      <c r="A36" s="27"/>
      <c r="B36" s="87" t="s">
        <v>32</v>
      </c>
      <c r="C36" s="12"/>
      <c r="D36" s="340"/>
      <c r="E36" s="13"/>
      <c r="F36" s="28"/>
      <c r="G36" s="341"/>
      <c r="H36" s="30"/>
      <c r="I36" s="287" t="s">
        <v>18</v>
      </c>
    </row>
    <row r="37" spans="1:9" x14ac:dyDescent="0.25">
      <c r="A37" s="4"/>
      <c r="B37" s="28"/>
      <c r="C37" s="28"/>
      <c r="D37" s="28"/>
      <c r="E37" s="28"/>
      <c r="F37" s="28"/>
      <c r="G37" s="27"/>
      <c r="H37" s="28"/>
    </row>
    <row r="38" spans="1:9" s="3" customFormat="1" ht="13.8" thickBot="1" x14ac:dyDescent="0.3">
      <c r="A38" s="20"/>
      <c r="B38" s="21" t="s">
        <v>3</v>
      </c>
      <c r="C38" s="22"/>
      <c r="D38" s="260">
        <f>D33+D28+D20+D12+D10+D4</f>
        <v>51.783333333333339</v>
      </c>
      <c r="E38" s="15"/>
      <c r="F38" s="28"/>
      <c r="G38" s="37"/>
      <c r="H38" s="31"/>
    </row>
    <row r="39" spans="1:9" ht="13.8" thickBot="1" x14ac:dyDescent="0.3">
      <c r="A39" s="4"/>
      <c r="B39" s="28"/>
      <c r="C39" s="28"/>
      <c r="E39" s="28"/>
      <c r="F39" s="28"/>
      <c r="G39" s="27"/>
      <c r="H39" s="28"/>
    </row>
    <row r="40" spans="1:9" ht="18" thickBot="1" x14ac:dyDescent="0.35">
      <c r="A40" s="23"/>
      <c r="B40" s="24"/>
      <c r="C40" s="29" t="s">
        <v>4</v>
      </c>
      <c r="D40" s="259">
        <f>IF(D38&lt;120,0.0083*D38+0.5,0.025*D38-1.5)</f>
        <v>0.92980166666666664</v>
      </c>
      <c r="E40" s="4"/>
      <c r="F40" s="28"/>
      <c r="G40" s="38"/>
      <c r="H40" s="4"/>
    </row>
    <row r="41" spans="1:9" x14ac:dyDescent="0.25">
      <c r="A41" s="4"/>
      <c r="B41" s="28"/>
      <c r="C41" s="28"/>
      <c r="D41" s="28"/>
      <c r="E41" s="28"/>
      <c r="F41" s="28"/>
      <c r="G41" s="27"/>
      <c r="H41" s="28"/>
    </row>
  </sheetData>
  <phoneticPr fontId="8" type="noConversion"/>
  <conditionalFormatting sqref="D5:D8 D13:D17 D21:D26 D29:D31 D34:D36">
    <cfRule type="expression" dxfId="0" priority="1" stopIfTrue="1">
      <formula>$D5&gt;30</formula>
    </cfRule>
  </conditionalFormatting>
  <printOptions horizontalCentered="1"/>
  <pageMargins left="0.47244094488188981" right="0.47244094488188981" top="0.59055118110236227" bottom="0.47244094488188981" header="0.31496062992125984" footer="0.27559055118110237"/>
  <pageSetup paperSize="9" fitToHeight="0" orientation="portrait" horizontalDpi="300" r:id="rId1"/>
  <headerFooter alignWithMargins="0">
    <oddFooter>&amp;L&amp;8Leitfaden Kostenabschätzungvon Planungsleistungen / 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7"/>
  <sheetViews>
    <sheetView showGridLines="0" zoomScaleNormal="100" zoomScaleSheetLayoutView="85" workbookViewId="0">
      <selection activeCell="D3" sqref="D3:L4"/>
    </sheetView>
  </sheetViews>
  <sheetFormatPr baseColWidth="10" defaultColWidth="11.44140625" defaultRowHeight="15" x14ac:dyDescent="0.25"/>
  <cols>
    <col min="1" max="1" width="8.88671875" style="42" customWidth="1"/>
    <col min="2" max="2" width="37.33203125" style="42" customWidth="1"/>
    <col min="3" max="3" width="1" style="42" customWidth="1"/>
    <col min="4" max="4" width="12.88671875" style="42" customWidth="1"/>
    <col min="5" max="5" width="9.33203125" style="42" customWidth="1"/>
    <col min="6" max="6" width="8.109375" style="42" customWidth="1"/>
    <col min="7" max="7" width="9" style="42" customWidth="1"/>
    <col min="8" max="8" width="11.88671875" style="42" customWidth="1"/>
    <col min="9" max="9" width="16.33203125" style="42" customWidth="1"/>
    <col min="10" max="10" width="8.44140625" style="42" customWidth="1"/>
    <col min="11" max="11" width="7.6640625" style="42" customWidth="1"/>
    <col min="12" max="12" width="7.109375" style="42" customWidth="1"/>
    <col min="13" max="13" width="2.33203125" style="42" customWidth="1"/>
    <col min="14" max="14" width="27.44140625" style="42" customWidth="1"/>
    <col min="15" max="15" width="11.44140625" style="42"/>
    <col min="16" max="16" width="12" style="42" bestFit="1" customWidth="1"/>
    <col min="17" max="17" width="11.88671875" style="42" bestFit="1" customWidth="1"/>
    <col min="18" max="16384" width="11.44140625" style="42"/>
  </cols>
  <sheetData>
    <row r="1" spans="1:16" ht="17.399999999999999" x14ac:dyDescent="0.3">
      <c r="A1" s="70" t="s">
        <v>198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6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6" s="33" customFormat="1" ht="15.6" x14ac:dyDescent="0.3">
      <c r="A3" s="32" t="s">
        <v>61</v>
      </c>
      <c r="B3" s="32"/>
      <c r="C3" s="32"/>
      <c r="D3" s="407" t="str">
        <f>IF(Leistungsumfang!D3:I3="","",Leistungsumfang!D3:I3)</f>
        <v>ABA BA 14, 6000 m Schmutz- und Regenwasserkanäle</v>
      </c>
      <c r="E3" s="407"/>
      <c r="F3" s="407"/>
      <c r="G3" s="407"/>
      <c r="H3" s="407"/>
      <c r="I3" s="407"/>
      <c r="J3" s="407"/>
      <c r="K3" s="407"/>
      <c r="L3" s="407"/>
      <c r="M3" s="42"/>
    </row>
    <row r="4" spans="1:16" s="33" customFormat="1" ht="15.6" x14ac:dyDescent="0.3">
      <c r="A4" s="32" t="s">
        <v>62</v>
      </c>
      <c r="B4" s="32"/>
      <c r="C4" s="32"/>
      <c r="D4" s="407" t="str">
        <f>IF(Leistungsumfang!D4:I4="","",Leistungsumfang!D4:I4)</f>
        <v>AG 02</v>
      </c>
      <c r="E4" s="407"/>
      <c r="F4" s="407"/>
      <c r="G4" s="407"/>
      <c r="H4" s="407"/>
      <c r="I4" s="407"/>
      <c r="J4" s="407"/>
      <c r="K4" s="407"/>
      <c r="L4" s="407"/>
      <c r="M4" s="42"/>
    </row>
    <row r="5" spans="1:16" s="33" customFormat="1" ht="15.6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42"/>
    </row>
    <row r="6" spans="1:16" x14ac:dyDescent="0.25">
      <c r="A6" s="41"/>
      <c r="B6" s="41" t="s">
        <v>63</v>
      </c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6" s="83" customFormat="1" ht="17.25" customHeight="1" x14ac:dyDescent="0.25">
      <c r="A7" s="64"/>
      <c r="B7" s="57" t="s">
        <v>64</v>
      </c>
      <c r="C7" s="64"/>
      <c r="D7" s="387">
        <f>'Eingabe Stundensatz'!B3</f>
        <v>99.674199576000007</v>
      </c>
      <c r="E7" s="387"/>
      <c r="F7" s="64" t="s">
        <v>72</v>
      </c>
      <c r="G7" s="41"/>
      <c r="H7" s="41"/>
      <c r="I7" s="64"/>
      <c r="J7" s="64"/>
      <c r="K7" s="64"/>
      <c r="L7" s="64"/>
      <c r="M7" s="92"/>
      <c r="N7" s="384" t="s">
        <v>90</v>
      </c>
    </row>
    <row r="8" spans="1:16" s="83" customFormat="1" ht="17.25" customHeight="1" x14ac:dyDescent="0.25">
      <c r="A8" s="64"/>
      <c r="B8" s="57" t="s">
        <v>99</v>
      </c>
      <c r="C8" s="64"/>
      <c r="D8" s="387">
        <f>Projektklassenfaktor!D40</f>
        <v>0.92980166666666664</v>
      </c>
      <c r="E8" s="387"/>
      <c r="F8" s="64" t="s">
        <v>73</v>
      </c>
      <c r="G8" s="41"/>
      <c r="H8" s="41"/>
      <c r="I8" s="64"/>
      <c r="J8" s="64"/>
      <c r="K8" s="64"/>
      <c r="L8" s="64"/>
      <c r="M8" s="92"/>
      <c r="N8" s="385"/>
    </row>
    <row r="9" spans="1:16" s="83" customFormat="1" ht="17.25" customHeight="1" x14ac:dyDescent="0.25">
      <c r="A9" s="64"/>
      <c r="B9" s="57" t="s">
        <v>115</v>
      </c>
      <c r="C9" s="64"/>
      <c r="D9" s="388">
        <v>8</v>
      </c>
      <c r="E9" s="388"/>
      <c r="F9" s="64" t="s">
        <v>116</v>
      </c>
      <c r="G9" s="41"/>
      <c r="H9" s="41"/>
      <c r="I9" s="64"/>
      <c r="J9" s="64"/>
      <c r="K9" s="64"/>
      <c r="L9" s="64"/>
      <c r="M9" s="92"/>
      <c r="N9" s="385"/>
    </row>
    <row r="10" spans="1:16" s="83" customFormat="1" ht="17.25" customHeight="1" x14ac:dyDescent="0.25">
      <c r="A10" s="64"/>
      <c r="B10" s="57" t="s">
        <v>183</v>
      </c>
      <c r="C10" s="64"/>
      <c r="D10" s="387">
        <f>Projektannahmen!B5</f>
        <v>11</v>
      </c>
      <c r="E10" s="387"/>
      <c r="F10" s="64" t="s">
        <v>148</v>
      </c>
      <c r="G10" s="41"/>
      <c r="H10" s="41"/>
      <c r="I10" s="64"/>
      <c r="J10" s="64"/>
      <c r="K10" s="64"/>
      <c r="L10" s="64"/>
      <c r="M10" s="92"/>
      <c r="N10" s="385"/>
    </row>
    <row r="11" spans="1:16" s="83" customFormat="1" ht="17.25" customHeight="1" x14ac:dyDescent="0.25">
      <c r="A11" s="64"/>
      <c r="B11" s="57" t="s">
        <v>227</v>
      </c>
      <c r="C11" s="64"/>
      <c r="D11" s="389">
        <f>Projektannahmen!B6</f>
        <v>6000</v>
      </c>
      <c r="E11" s="389"/>
      <c r="F11" s="64" t="s">
        <v>222</v>
      </c>
      <c r="G11" s="41"/>
      <c r="H11" s="41"/>
      <c r="I11" s="83" t="s">
        <v>100</v>
      </c>
      <c r="J11" s="268">
        <f>Projektannahmen!B7</f>
        <v>380</v>
      </c>
      <c r="K11" s="64" t="s">
        <v>223</v>
      </c>
      <c r="L11" s="64"/>
      <c r="M11" s="92"/>
      <c r="N11" s="386"/>
    </row>
    <row r="12" spans="1:16" ht="15.6" thickBot="1" x14ac:dyDescent="0.3">
      <c r="A12" s="41"/>
      <c r="C12" s="41"/>
      <c r="D12" s="43"/>
      <c r="E12" s="41"/>
      <c r="F12" s="41"/>
      <c r="G12" s="41"/>
      <c r="H12" s="41"/>
      <c r="I12" s="41"/>
      <c r="J12" s="41"/>
      <c r="K12" s="41"/>
    </row>
    <row r="13" spans="1:16" s="58" customFormat="1" ht="25.5" customHeight="1" thickBot="1" x14ac:dyDescent="0.3">
      <c r="A13" s="66" t="s">
        <v>65</v>
      </c>
      <c r="B13" s="68" t="s">
        <v>66</v>
      </c>
      <c r="C13" s="49"/>
      <c r="D13" s="402" t="s">
        <v>67</v>
      </c>
      <c r="E13" s="403"/>
      <c r="F13" s="403"/>
      <c r="G13" s="403"/>
      <c r="H13" s="403"/>
      <c r="I13" s="403"/>
      <c r="J13" s="403"/>
      <c r="K13" s="403"/>
      <c r="L13" s="404"/>
      <c r="M13" s="42"/>
    </row>
    <row r="14" spans="1:16" s="1" customFormat="1" ht="6" customHeight="1" thickBot="1" x14ac:dyDescent="0.3">
      <c r="A14" s="59"/>
      <c r="B14" s="5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2"/>
    </row>
    <row r="15" spans="1:16" s="1" customFormat="1" ht="66" x14ac:dyDescent="0.25">
      <c r="A15" s="392" t="s">
        <v>68</v>
      </c>
      <c r="B15" s="393"/>
      <c r="C15" s="49"/>
      <c r="D15" s="110" t="s">
        <v>138</v>
      </c>
      <c r="E15" s="111"/>
      <c r="F15" s="111"/>
      <c r="G15" s="111" t="s">
        <v>114</v>
      </c>
      <c r="H15" s="112" t="s">
        <v>125</v>
      </c>
      <c r="I15" s="112" t="s">
        <v>113</v>
      </c>
      <c r="J15" s="112" t="s">
        <v>118</v>
      </c>
      <c r="K15" s="398" t="s">
        <v>75</v>
      </c>
      <c r="L15" s="399"/>
      <c r="M15" s="42"/>
      <c r="N15" s="408" t="s">
        <v>91</v>
      </c>
    </row>
    <row r="16" spans="1:16" s="1" customFormat="1" x14ac:dyDescent="0.25">
      <c r="A16" s="394"/>
      <c r="B16" s="395"/>
      <c r="C16" s="49"/>
      <c r="D16" s="105" t="s">
        <v>120</v>
      </c>
      <c r="E16" s="106"/>
      <c r="F16" s="106"/>
      <c r="G16" s="106" t="s">
        <v>110</v>
      </c>
      <c r="H16" s="106" t="s">
        <v>110</v>
      </c>
      <c r="I16" s="106" t="s">
        <v>111</v>
      </c>
      <c r="J16" s="106" t="s">
        <v>108</v>
      </c>
      <c r="K16" s="390"/>
      <c r="L16" s="391"/>
      <c r="M16" s="42"/>
      <c r="N16" s="408"/>
      <c r="P16" s="196"/>
    </row>
    <row r="17" spans="1:16" s="1" customFormat="1" ht="15.6" thickBot="1" x14ac:dyDescent="0.3">
      <c r="A17" s="396"/>
      <c r="B17" s="397"/>
      <c r="C17" s="49"/>
      <c r="D17" s="113" t="s">
        <v>121</v>
      </c>
      <c r="E17" s="114"/>
      <c r="F17" s="114"/>
      <c r="G17" s="114" t="s">
        <v>101</v>
      </c>
      <c r="H17" s="114" t="s">
        <v>123</v>
      </c>
      <c r="I17" s="114" t="s">
        <v>122</v>
      </c>
      <c r="J17" s="114"/>
      <c r="K17" s="400"/>
      <c r="L17" s="401"/>
      <c r="M17" s="42"/>
      <c r="N17" s="408"/>
      <c r="P17" s="196"/>
    </row>
    <row r="18" spans="1:16" s="1" customFormat="1" x14ac:dyDescent="0.25">
      <c r="A18" s="102"/>
      <c r="B18" s="102"/>
      <c r="C18" s="102"/>
      <c r="D18" s="102"/>
      <c r="E18" s="102"/>
      <c r="F18" s="102"/>
      <c r="G18" s="102"/>
      <c r="H18" s="103"/>
      <c r="I18" s="103"/>
      <c r="J18" s="102"/>
      <c r="K18" s="102"/>
      <c r="L18" s="102"/>
      <c r="M18" s="42"/>
      <c r="N18" s="408"/>
      <c r="P18" s="294"/>
    </row>
    <row r="19" spans="1:16" s="51" customFormat="1" ht="15" customHeight="1" x14ac:dyDescent="0.25">
      <c r="A19" s="329" t="s">
        <v>232</v>
      </c>
      <c r="B19" s="329" t="s">
        <v>231</v>
      </c>
      <c r="C19" s="52"/>
      <c r="D19" s="117">
        <v>5</v>
      </c>
      <c r="E19" s="118"/>
      <c r="F19" s="118"/>
      <c r="G19" s="117">
        <v>0</v>
      </c>
      <c r="H19" s="101">
        <f t="shared" ref="H19:H27" si="0">D19*$D$9+G19</f>
        <v>40</v>
      </c>
      <c r="I19" s="96">
        <f>H19*$D$7</f>
        <v>3986.96798304</v>
      </c>
      <c r="J19" s="60">
        <f t="shared" ref="J19:J27" si="1">I19/I$51</f>
        <v>3.1263576452321105E-2</v>
      </c>
      <c r="K19" s="382"/>
      <c r="L19" s="383"/>
      <c r="M19" s="42"/>
      <c r="N19" s="408"/>
      <c r="P19" s="295"/>
    </row>
    <row r="20" spans="1:16" s="51" customFormat="1" x14ac:dyDescent="0.25">
      <c r="A20" s="55" t="s">
        <v>234</v>
      </c>
      <c r="B20" s="149" t="s">
        <v>233</v>
      </c>
      <c r="C20" s="52"/>
      <c r="D20" s="117">
        <v>5</v>
      </c>
      <c r="E20" s="118"/>
      <c r="F20" s="118"/>
      <c r="G20" s="117">
        <v>0</v>
      </c>
      <c r="H20" s="101">
        <f t="shared" si="0"/>
        <v>40</v>
      </c>
      <c r="I20" s="96">
        <f t="shared" ref="I20:I27" si="2">H20*$D$7</f>
        <v>3986.96798304</v>
      </c>
      <c r="J20" s="60">
        <f t="shared" si="1"/>
        <v>3.1263576452321105E-2</v>
      </c>
      <c r="K20" s="382"/>
      <c r="L20" s="383"/>
      <c r="M20" s="42"/>
      <c r="N20" s="408"/>
      <c r="P20" s="295"/>
    </row>
    <row r="21" spans="1:16" s="51" customFormat="1" x14ac:dyDescent="0.25">
      <c r="A21" s="56" t="s">
        <v>236</v>
      </c>
      <c r="B21" s="54" t="s">
        <v>235</v>
      </c>
      <c r="C21" s="52"/>
      <c r="D21" s="117">
        <v>0</v>
      </c>
      <c r="E21" s="118"/>
      <c r="F21" s="118"/>
      <c r="G21" s="117">
        <v>0</v>
      </c>
      <c r="H21" s="101">
        <f t="shared" si="0"/>
        <v>0</v>
      </c>
      <c r="I21" s="96">
        <f t="shared" si="2"/>
        <v>0</v>
      </c>
      <c r="J21" s="60">
        <f t="shared" si="1"/>
        <v>0</v>
      </c>
      <c r="K21" s="382"/>
      <c r="L21" s="383"/>
      <c r="M21" s="42"/>
      <c r="N21" s="408"/>
      <c r="P21" s="295"/>
    </row>
    <row r="22" spans="1:16" s="51" customFormat="1" hidden="1" x14ac:dyDescent="0.25">
      <c r="A22" s="56"/>
      <c r="B22" s="54" t="s">
        <v>74</v>
      </c>
      <c r="C22" s="52"/>
      <c r="D22" s="117"/>
      <c r="E22" s="118"/>
      <c r="F22" s="118"/>
      <c r="G22" s="117"/>
      <c r="H22" s="101">
        <f t="shared" si="0"/>
        <v>0</v>
      </c>
      <c r="I22" s="96">
        <f t="shared" si="2"/>
        <v>0</v>
      </c>
      <c r="J22" s="60">
        <f t="shared" si="1"/>
        <v>0</v>
      </c>
      <c r="K22" s="382"/>
      <c r="L22" s="383"/>
      <c r="M22" s="42"/>
      <c r="N22" s="408"/>
      <c r="P22" s="295"/>
    </row>
    <row r="23" spans="1:16" s="51" customFormat="1" hidden="1" x14ac:dyDescent="0.25">
      <c r="A23" s="56" t="s">
        <v>84</v>
      </c>
      <c r="B23" s="54" t="s">
        <v>199</v>
      </c>
      <c r="C23" s="52"/>
      <c r="D23" s="117">
        <v>0</v>
      </c>
      <c r="E23" s="118"/>
      <c r="F23" s="118"/>
      <c r="G23" s="117">
        <v>0</v>
      </c>
      <c r="H23" s="101">
        <f t="shared" si="0"/>
        <v>0</v>
      </c>
      <c r="I23" s="96">
        <f t="shared" si="2"/>
        <v>0</v>
      </c>
      <c r="J23" s="60">
        <f t="shared" si="1"/>
        <v>0</v>
      </c>
      <c r="K23" s="382"/>
      <c r="L23" s="383"/>
      <c r="M23" s="42"/>
      <c r="N23" s="408"/>
      <c r="P23" s="295"/>
    </row>
    <row r="24" spans="1:16" s="51" customFormat="1" hidden="1" x14ac:dyDescent="0.25">
      <c r="A24" s="56" t="s">
        <v>84</v>
      </c>
      <c r="B24" s="54" t="s">
        <v>200</v>
      </c>
      <c r="C24" s="52"/>
      <c r="D24" s="117">
        <v>0</v>
      </c>
      <c r="E24" s="118"/>
      <c r="F24" s="118"/>
      <c r="G24" s="117">
        <v>0</v>
      </c>
      <c r="H24" s="101">
        <f t="shared" si="0"/>
        <v>0</v>
      </c>
      <c r="I24" s="96">
        <f t="shared" si="2"/>
        <v>0</v>
      </c>
      <c r="J24" s="60">
        <f t="shared" si="1"/>
        <v>0</v>
      </c>
      <c r="K24" s="382"/>
      <c r="L24" s="383"/>
      <c r="M24" s="42"/>
      <c r="N24" s="408"/>
      <c r="P24" s="295"/>
    </row>
    <row r="25" spans="1:16" s="51" customFormat="1" hidden="1" x14ac:dyDescent="0.25">
      <c r="A25" s="56" t="s">
        <v>84</v>
      </c>
      <c r="B25" s="54" t="s">
        <v>201</v>
      </c>
      <c r="C25" s="52"/>
      <c r="D25" s="117">
        <v>0</v>
      </c>
      <c r="E25" s="118"/>
      <c r="F25" s="118"/>
      <c r="G25" s="117">
        <v>0</v>
      </c>
      <c r="H25" s="101">
        <f t="shared" si="0"/>
        <v>0</v>
      </c>
      <c r="I25" s="96">
        <f t="shared" si="2"/>
        <v>0</v>
      </c>
      <c r="J25" s="60">
        <f t="shared" si="1"/>
        <v>0</v>
      </c>
      <c r="K25" s="382"/>
      <c r="L25" s="383"/>
      <c r="M25" s="42"/>
      <c r="N25" s="408"/>
      <c r="P25" s="295"/>
    </row>
    <row r="26" spans="1:16" s="51" customFormat="1" hidden="1" x14ac:dyDescent="0.25">
      <c r="A26" s="56" t="s">
        <v>84</v>
      </c>
      <c r="B26" s="54" t="s">
        <v>202</v>
      </c>
      <c r="C26" s="52"/>
      <c r="D26" s="117">
        <v>0</v>
      </c>
      <c r="E26" s="118"/>
      <c r="F26" s="118"/>
      <c r="G26" s="117">
        <v>0</v>
      </c>
      <c r="H26" s="101">
        <f t="shared" si="0"/>
        <v>0</v>
      </c>
      <c r="I26" s="96">
        <f t="shared" si="2"/>
        <v>0</v>
      </c>
      <c r="J26" s="60">
        <f t="shared" si="1"/>
        <v>0</v>
      </c>
      <c r="K26" s="382"/>
      <c r="L26" s="383"/>
      <c r="M26" s="42"/>
      <c r="N26" s="408"/>
      <c r="P26" s="295"/>
    </row>
    <row r="27" spans="1:16" s="51" customFormat="1" hidden="1" x14ac:dyDescent="0.25">
      <c r="A27" s="56" t="s">
        <v>84</v>
      </c>
      <c r="B27" s="54" t="s">
        <v>203</v>
      </c>
      <c r="C27" s="52"/>
      <c r="D27" s="117">
        <v>0</v>
      </c>
      <c r="E27" s="118"/>
      <c r="F27" s="118"/>
      <c r="G27" s="117">
        <v>0</v>
      </c>
      <c r="H27" s="101">
        <f t="shared" si="0"/>
        <v>0</v>
      </c>
      <c r="I27" s="96">
        <f t="shared" si="2"/>
        <v>0</v>
      </c>
      <c r="J27" s="60">
        <f t="shared" si="1"/>
        <v>0</v>
      </c>
      <c r="K27" s="382"/>
      <c r="L27" s="383"/>
      <c r="M27" s="42"/>
      <c r="N27" s="408"/>
      <c r="P27" s="295"/>
    </row>
    <row r="28" spans="1:16" s="1" customFormat="1" ht="15.6" thickBot="1" x14ac:dyDescent="0.3">
      <c r="A28" s="49"/>
      <c r="B28" s="49"/>
      <c r="C28" s="49"/>
      <c r="D28" s="49"/>
      <c r="E28" s="49"/>
      <c r="F28" s="49"/>
      <c r="G28" s="49"/>
      <c r="H28" s="61"/>
      <c r="I28" s="49"/>
      <c r="J28" s="49"/>
      <c r="K28" s="49"/>
      <c r="L28" s="49"/>
      <c r="M28" s="42"/>
      <c r="N28" s="330"/>
      <c r="P28" s="294"/>
    </row>
    <row r="29" spans="1:16" s="1" customFormat="1" ht="66" x14ac:dyDescent="0.25">
      <c r="A29" s="392" t="s">
        <v>69</v>
      </c>
      <c r="B29" s="393"/>
      <c r="C29" s="49"/>
      <c r="D29" s="110" t="s">
        <v>132</v>
      </c>
      <c r="E29" s="111" t="s">
        <v>112</v>
      </c>
      <c r="F29" s="111"/>
      <c r="G29" s="111" t="str">
        <f>G15</f>
        <v>Stunden optionale Leistung (inkl.PKF)</v>
      </c>
      <c r="H29" s="112" t="s">
        <v>125</v>
      </c>
      <c r="I29" s="112" t="s">
        <v>113</v>
      </c>
      <c r="J29" s="112" t="str">
        <f>J15</f>
        <v>Anteil an Anbots-preis</v>
      </c>
      <c r="K29" s="398" t="s">
        <v>75</v>
      </c>
      <c r="L29" s="399"/>
      <c r="M29" s="42"/>
      <c r="P29" s="196"/>
    </row>
    <row r="30" spans="1:16" s="1" customFormat="1" x14ac:dyDescent="0.25">
      <c r="A30" s="394"/>
      <c r="B30" s="395"/>
      <c r="C30" s="49"/>
      <c r="D30" s="105" t="s">
        <v>225</v>
      </c>
      <c r="E30" s="106" t="s">
        <v>108</v>
      </c>
      <c r="F30" s="106"/>
      <c r="G30" s="106" t="str">
        <f>G16</f>
        <v>[h]</v>
      </c>
      <c r="H30" s="106" t="s">
        <v>110</v>
      </c>
      <c r="I30" s="106" t="s">
        <v>111</v>
      </c>
      <c r="J30" s="106" t="s">
        <v>108</v>
      </c>
      <c r="K30" s="390"/>
      <c r="L30" s="391"/>
      <c r="M30" s="42"/>
      <c r="P30" s="196"/>
    </row>
    <row r="31" spans="1:16" s="1" customFormat="1" ht="19.8" thickBot="1" x14ac:dyDescent="0.3">
      <c r="A31" s="396"/>
      <c r="B31" s="397"/>
      <c r="C31" s="49"/>
      <c r="D31" s="113" t="s">
        <v>124</v>
      </c>
      <c r="E31" s="114" t="s">
        <v>126</v>
      </c>
      <c r="F31" s="114"/>
      <c r="G31" s="114" t="s">
        <v>133</v>
      </c>
      <c r="H31" s="114" t="s">
        <v>226</v>
      </c>
      <c r="I31" s="114" t="s">
        <v>134</v>
      </c>
      <c r="J31" s="114"/>
      <c r="K31" s="400"/>
      <c r="L31" s="401"/>
      <c r="M31" s="42"/>
      <c r="P31" s="196"/>
    </row>
    <row r="32" spans="1:16" s="1" customFormat="1" x14ac:dyDescent="0.25">
      <c r="A32" s="102"/>
      <c r="B32" s="102"/>
      <c r="C32" s="102"/>
      <c r="D32" s="102"/>
      <c r="E32" s="102"/>
      <c r="F32" s="102"/>
      <c r="G32" s="102"/>
      <c r="H32" s="103"/>
      <c r="I32" s="103"/>
      <c r="J32" s="102"/>
      <c r="K32" s="102"/>
      <c r="L32" s="102"/>
      <c r="M32" s="42"/>
      <c r="P32" s="196"/>
    </row>
    <row r="33" spans="1:16" s="51" customFormat="1" ht="15" customHeight="1" x14ac:dyDescent="0.25">
      <c r="A33" s="53" t="s">
        <v>237</v>
      </c>
      <c r="B33" s="50" t="s">
        <v>238</v>
      </c>
      <c r="C33" s="52"/>
      <c r="D33" s="119">
        <v>0.03</v>
      </c>
      <c r="E33" s="269">
        <f>Leistungsumfang!D15</f>
        <v>1</v>
      </c>
      <c r="F33" s="116"/>
      <c r="G33" s="117">
        <v>0</v>
      </c>
      <c r="H33" s="101">
        <f>D33*$D$11*$D$8*E33+G33</f>
        <v>167.36429999999999</v>
      </c>
      <c r="I33" s="96">
        <f>H33*$D$7</f>
        <v>16681.902640097538</v>
      </c>
      <c r="J33" s="60">
        <f>I33/I$51</f>
        <v>0.13081016471098014</v>
      </c>
      <c r="K33" s="382"/>
      <c r="L33" s="383"/>
      <c r="M33" s="42"/>
      <c r="N33" s="384" t="s">
        <v>93</v>
      </c>
      <c r="P33" s="295"/>
    </row>
    <row r="34" spans="1:16" s="51" customFormat="1" x14ac:dyDescent="0.25">
      <c r="A34" s="53" t="s">
        <v>240</v>
      </c>
      <c r="B34" s="50" t="s">
        <v>239</v>
      </c>
      <c r="C34" s="52"/>
      <c r="D34" s="119">
        <v>0.06</v>
      </c>
      <c r="E34" s="269">
        <f>Leistungsumfang!D16</f>
        <v>1</v>
      </c>
      <c r="F34" s="116"/>
      <c r="G34" s="117">
        <v>0</v>
      </c>
      <c r="H34" s="101">
        <f>D34*$D$11*$D$8*E34+G34</f>
        <v>334.72859999999997</v>
      </c>
      <c r="I34" s="96">
        <f>H34*$D$7</f>
        <v>33363.805280195076</v>
      </c>
      <c r="J34" s="60">
        <f>I34/I$51</f>
        <v>0.26162032942196028</v>
      </c>
      <c r="K34" s="382"/>
      <c r="L34" s="383"/>
      <c r="M34" s="42"/>
      <c r="N34" s="405"/>
      <c r="P34" s="295"/>
    </row>
    <row r="35" spans="1:16" s="51" customFormat="1" x14ac:dyDescent="0.25">
      <c r="A35" s="53" t="s">
        <v>242</v>
      </c>
      <c r="B35" s="50" t="s">
        <v>241</v>
      </c>
      <c r="C35" s="52"/>
      <c r="D35" s="119">
        <v>0.01</v>
      </c>
      <c r="E35" s="269">
        <f>Leistungsumfang!D17</f>
        <v>1</v>
      </c>
      <c r="F35" s="116"/>
      <c r="G35" s="117">
        <v>0</v>
      </c>
      <c r="H35" s="101">
        <f>D35*$D$11*$D$8*E35+G35</f>
        <v>55.7881</v>
      </c>
      <c r="I35" s="96">
        <f>H35*$D$7</f>
        <v>5560.6342133658463</v>
      </c>
      <c r="J35" s="60">
        <f>I35/I$51</f>
        <v>4.3603388236993383E-2</v>
      </c>
      <c r="K35" s="382"/>
      <c r="L35" s="383"/>
      <c r="M35" s="42"/>
      <c r="N35" s="405"/>
      <c r="P35" s="295"/>
    </row>
    <row r="36" spans="1:16" s="51" customFormat="1" x14ac:dyDescent="0.25">
      <c r="A36" s="53" t="s">
        <v>244</v>
      </c>
      <c r="B36" s="50" t="s">
        <v>243</v>
      </c>
      <c r="C36" s="52"/>
      <c r="D36" s="374">
        <v>7.4999999999999997E-2</v>
      </c>
      <c r="E36" s="269">
        <f>Leistungsumfang!D21</f>
        <v>1</v>
      </c>
      <c r="F36" s="116"/>
      <c r="G36" s="117">
        <v>0</v>
      </c>
      <c r="H36" s="101">
        <f>D36*$D$11*$D$8*E36+G36</f>
        <v>418.41075000000001</v>
      </c>
      <c r="I36" s="96">
        <f>H36*$D$7</f>
        <v>41704.756600243847</v>
      </c>
      <c r="J36" s="60">
        <f>I36/I$51</f>
        <v>0.32702541177745037</v>
      </c>
      <c r="K36" s="382"/>
      <c r="L36" s="383"/>
      <c r="M36" s="42"/>
      <c r="N36" s="405"/>
      <c r="P36" s="295"/>
    </row>
    <row r="37" spans="1:16" s="51" customFormat="1" x14ac:dyDescent="0.25">
      <c r="A37" s="53" t="s">
        <v>246</v>
      </c>
      <c r="B37" s="50" t="s">
        <v>245</v>
      </c>
      <c r="C37" s="52"/>
      <c r="D37" s="374">
        <v>2.5000000000000001E-2</v>
      </c>
      <c r="E37" s="269">
        <f>Leistungsumfang!D22</f>
        <v>1</v>
      </c>
      <c r="F37" s="116"/>
      <c r="G37" s="117">
        <v>0</v>
      </c>
      <c r="H37" s="101">
        <f>D37*$D$11*$D$8*E37+G37</f>
        <v>139.47024999999999</v>
      </c>
      <c r="I37" s="96">
        <f>H37*$D$7</f>
        <v>13901.585533414614</v>
      </c>
      <c r="J37" s="60">
        <f>I37/I$51</f>
        <v>0.10900847059248345</v>
      </c>
      <c r="K37" s="382"/>
      <c r="L37" s="383"/>
      <c r="M37" s="42"/>
      <c r="N37" s="406"/>
      <c r="P37" s="295"/>
    </row>
    <row r="38" spans="1:16" s="1" customFormat="1" ht="15.6" thickBot="1" x14ac:dyDescent="0.3">
      <c r="A38" s="49"/>
      <c r="B38" s="49"/>
      <c r="C38" s="49"/>
      <c r="D38" s="49"/>
      <c r="E38" s="49"/>
      <c r="F38" s="49"/>
      <c r="G38" s="49"/>
      <c r="H38" s="49"/>
      <c r="J38" s="49"/>
      <c r="K38" s="49"/>
      <c r="L38" s="49"/>
      <c r="M38" s="42"/>
      <c r="P38" s="294"/>
    </row>
    <row r="39" spans="1:16" s="1" customFormat="1" ht="66" x14ac:dyDescent="0.25">
      <c r="A39" s="392" t="s">
        <v>70</v>
      </c>
      <c r="B39" s="393"/>
      <c r="C39" s="49"/>
      <c r="D39" s="110" t="s">
        <v>127</v>
      </c>
      <c r="E39" s="111" t="s">
        <v>112</v>
      </c>
      <c r="F39" s="111" t="s">
        <v>117</v>
      </c>
      <c r="G39" s="111" t="str">
        <f>G15</f>
        <v>Stunden optionale Leistung (inkl.PKF)</v>
      </c>
      <c r="H39" s="112" t="s">
        <v>128</v>
      </c>
      <c r="I39" s="112" t="s">
        <v>113</v>
      </c>
      <c r="J39" s="112" t="str">
        <f>J15</f>
        <v>Anteil an Anbots-preis</v>
      </c>
      <c r="K39" s="398" t="s">
        <v>75</v>
      </c>
      <c r="L39" s="399"/>
      <c r="M39" s="42"/>
      <c r="N39" s="384" t="s">
        <v>92</v>
      </c>
      <c r="P39" s="196"/>
    </row>
    <row r="40" spans="1:16" s="1" customFormat="1" x14ac:dyDescent="0.25">
      <c r="A40" s="394"/>
      <c r="B40" s="395"/>
      <c r="C40" s="49"/>
      <c r="D40" s="105" t="s">
        <v>107</v>
      </c>
      <c r="E40" s="106" t="s">
        <v>108</v>
      </c>
      <c r="F40" s="106" t="s">
        <v>109</v>
      </c>
      <c r="G40" s="106" t="s">
        <v>110</v>
      </c>
      <c r="H40" s="106" t="s">
        <v>110</v>
      </c>
      <c r="I40" s="106" t="s">
        <v>111</v>
      </c>
      <c r="J40" s="106" t="s">
        <v>108</v>
      </c>
      <c r="K40" s="390"/>
      <c r="L40" s="391"/>
      <c r="M40" s="42"/>
      <c r="N40" s="405"/>
      <c r="P40" s="196"/>
    </row>
    <row r="41" spans="1:16" s="1" customFormat="1" ht="15.6" thickBot="1" x14ac:dyDescent="0.3">
      <c r="A41" s="396"/>
      <c r="B41" s="397"/>
      <c r="C41" s="49"/>
      <c r="D41" s="113" t="s">
        <v>129</v>
      </c>
      <c r="E41" s="114" t="s">
        <v>130</v>
      </c>
      <c r="F41" s="114" t="s">
        <v>131</v>
      </c>
      <c r="G41" s="114" t="s">
        <v>135</v>
      </c>
      <c r="H41" s="114" t="s">
        <v>136</v>
      </c>
      <c r="I41" s="114" t="s">
        <v>137</v>
      </c>
      <c r="J41" s="114"/>
      <c r="K41" s="400"/>
      <c r="L41" s="401"/>
      <c r="M41" s="42"/>
      <c r="N41" s="405"/>
      <c r="P41" s="196"/>
    </row>
    <row r="42" spans="1:16" s="1" customFormat="1" ht="11.25" customHeight="1" x14ac:dyDescent="0.25">
      <c r="A42" s="102"/>
      <c r="B42" s="102"/>
      <c r="C42" s="102"/>
      <c r="D42" s="102"/>
      <c r="E42" s="102"/>
      <c r="F42" s="102"/>
      <c r="G42" s="102"/>
      <c r="H42" s="300"/>
      <c r="I42" s="300"/>
      <c r="J42" s="102"/>
      <c r="K42" s="102"/>
      <c r="L42" s="102"/>
      <c r="M42" s="42"/>
      <c r="N42" s="405"/>
      <c r="P42" s="196"/>
    </row>
    <row r="43" spans="1:16" s="51" customFormat="1" x14ac:dyDescent="0.25">
      <c r="A43" s="55" t="s">
        <v>248</v>
      </c>
      <c r="B43" s="149" t="s">
        <v>247</v>
      </c>
      <c r="C43" s="52"/>
      <c r="D43" s="119">
        <v>30</v>
      </c>
      <c r="E43" s="269">
        <f>Leistungsumfang!D27</f>
        <v>1</v>
      </c>
      <c r="F43" s="270">
        <f>Leistungsumfang!E27</f>
        <v>3</v>
      </c>
      <c r="G43" s="117">
        <v>0</v>
      </c>
      <c r="H43" s="101">
        <f>D43*E43*F43*$D$8+G43</f>
        <v>83.682149999999993</v>
      </c>
      <c r="I43" s="96">
        <f>H43*$D$7</f>
        <v>8340.951320048769</v>
      </c>
      <c r="J43" s="60">
        <f>I43/I$51</f>
        <v>6.5405082355490071E-2</v>
      </c>
      <c r="K43" s="382"/>
      <c r="L43" s="383"/>
      <c r="M43" s="42"/>
      <c r="N43" s="406"/>
      <c r="P43" s="296"/>
    </row>
    <row r="44" spans="1:16" s="1" customFormat="1" ht="15" customHeight="1" thickBot="1" x14ac:dyDescent="0.3">
      <c r="A44" s="49"/>
      <c r="B44" s="49"/>
      <c r="C44" s="49"/>
      <c r="D44" s="49"/>
      <c r="E44" s="49"/>
      <c r="F44" s="49"/>
      <c r="G44" s="49"/>
      <c r="H44" s="49"/>
      <c r="I44" s="93"/>
      <c r="J44" s="49"/>
      <c r="K44" s="49"/>
      <c r="L44" s="49"/>
      <c r="M44" s="42"/>
      <c r="N44" s="384" t="s">
        <v>94</v>
      </c>
      <c r="P44" s="297"/>
    </row>
    <row r="45" spans="1:16" s="83" customFormat="1" ht="16.2" thickBot="1" x14ac:dyDescent="0.3">
      <c r="A45" s="62" t="s">
        <v>97</v>
      </c>
      <c r="B45" s="86"/>
      <c r="C45" s="65"/>
      <c r="D45" s="89"/>
      <c r="E45" s="107"/>
      <c r="F45" s="107"/>
      <c r="G45" s="107"/>
      <c r="H45" s="107" t="s">
        <v>146</v>
      </c>
      <c r="I45" s="108" t="s">
        <v>147</v>
      </c>
      <c r="J45" s="109"/>
      <c r="K45" s="107"/>
      <c r="L45" s="88"/>
      <c r="M45" s="64"/>
      <c r="N45" s="405"/>
      <c r="P45" s="65"/>
    </row>
    <row r="46" spans="1:16" s="83" customFormat="1" ht="8.25" customHeight="1" x14ac:dyDescent="0.25">
      <c r="A46" s="64"/>
      <c r="B46" s="64"/>
      <c r="C46" s="64"/>
      <c r="D46" s="64"/>
      <c r="E46" s="64"/>
      <c r="F46" s="64"/>
      <c r="G46" s="64"/>
      <c r="H46" s="64"/>
      <c r="I46" s="97"/>
      <c r="J46" s="64"/>
      <c r="K46" s="41"/>
      <c r="L46" s="41"/>
      <c r="M46" s="64"/>
      <c r="N46" s="405"/>
      <c r="P46" s="65"/>
    </row>
    <row r="47" spans="1:16" x14ac:dyDescent="0.25">
      <c r="A47" s="41"/>
      <c r="B47" s="115" t="s">
        <v>77</v>
      </c>
      <c r="C47" s="41"/>
      <c r="D47" s="41"/>
      <c r="E47" s="41"/>
      <c r="F47" s="41"/>
      <c r="G47" s="41"/>
      <c r="H47" s="45">
        <f>SUM(H19:H44)</f>
        <v>1279.44415</v>
      </c>
      <c r="I47" s="98"/>
      <c r="J47" s="49"/>
      <c r="K47" s="41"/>
      <c r="L47" s="41"/>
      <c r="N47" s="405"/>
      <c r="P47" s="40"/>
    </row>
    <row r="48" spans="1:16" x14ac:dyDescent="0.25">
      <c r="A48" s="41"/>
      <c r="B48" s="44" t="s">
        <v>78</v>
      </c>
      <c r="C48" s="41"/>
      <c r="D48" s="41"/>
      <c r="E48" s="41"/>
      <c r="F48" s="41"/>
      <c r="G48" s="41"/>
      <c r="H48" s="46"/>
      <c r="I48" s="99">
        <f>SUM(I14:I43)</f>
        <v>127527.5715534457</v>
      </c>
      <c r="J48" s="49"/>
      <c r="K48" s="41"/>
      <c r="L48" s="41"/>
      <c r="N48" s="406"/>
      <c r="P48" s="40"/>
    </row>
    <row r="49" spans="1:16" x14ac:dyDescent="0.25">
      <c r="A49" s="41"/>
      <c r="B49" s="44" t="s">
        <v>81</v>
      </c>
      <c r="C49" s="41"/>
      <c r="D49" s="41"/>
      <c r="E49" s="41"/>
      <c r="F49" s="41"/>
      <c r="G49" s="41"/>
      <c r="H49" s="41"/>
      <c r="I49" s="94">
        <v>0</v>
      </c>
      <c r="J49" s="60">
        <f>I49/I$51</f>
        <v>0</v>
      </c>
      <c r="K49" s="41"/>
      <c r="L49" s="41"/>
      <c r="P49" s="40"/>
    </row>
    <row r="50" spans="1:16" ht="6.75" customHeight="1" thickBot="1" x14ac:dyDescent="0.3">
      <c r="A50" s="41"/>
      <c r="B50" s="41"/>
      <c r="C50" s="41"/>
      <c r="D50" s="41"/>
      <c r="E50" s="41"/>
      <c r="F50" s="41"/>
      <c r="G50" s="41"/>
      <c r="H50" s="41"/>
      <c r="I50" s="98"/>
      <c r="J50" s="49"/>
      <c r="K50" s="41"/>
      <c r="L50" s="41"/>
      <c r="P50" s="40"/>
    </row>
    <row r="51" spans="1:16" ht="17.25" customHeight="1" thickBot="1" x14ac:dyDescent="0.3">
      <c r="A51" s="40"/>
      <c r="B51" s="266" t="s">
        <v>76</v>
      </c>
      <c r="C51" s="267"/>
      <c r="D51" s="267"/>
      <c r="E51" s="267"/>
      <c r="F51" s="267"/>
      <c r="G51" s="267"/>
      <c r="H51" s="267"/>
      <c r="I51" s="265">
        <f>I49+I48</f>
        <v>127527.5715534457</v>
      </c>
      <c r="J51" s="121">
        <f>SUM(J19:J49)</f>
        <v>0.99999999999999989</v>
      </c>
      <c r="K51" s="41"/>
      <c r="L51" s="41"/>
      <c r="P51" s="40"/>
    </row>
    <row r="52" spans="1:16" ht="6.75" customHeight="1" x14ac:dyDescent="0.25">
      <c r="A52" s="41"/>
      <c r="B52" s="44"/>
      <c r="D52" s="41"/>
      <c r="E52" s="41"/>
      <c r="F52" s="41"/>
      <c r="G52" s="41"/>
      <c r="I52" s="100"/>
      <c r="J52" s="1"/>
      <c r="K52" s="41"/>
      <c r="L52" s="41"/>
      <c r="P52" s="40"/>
    </row>
    <row r="53" spans="1:16" ht="15.6" thickBot="1" x14ac:dyDescent="0.3">
      <c r="A53" s="41"/>
      <c r="B53" s="44" t="s">
        <v>98</v>
      </c>
      <c r="C53" s="41"/>
      <c r="D53" s="41"/>
      <c r="E53" s="41"/>
      <c r="F53" s="41"/>
      <c r="G53" s="41"/>
      <c r="H53" s="41"/>
      <c r="I53" s="95">
        <f>I51*0.2</f>
        <v>25505.514310689141</v>
      </c>
      <c r="J53" s="49"/>
      <c r="K53" s="41"/>
      <c r="L53" s="41"/>
      <c r="P53" s="298"/>
    </row>
    <row r="54" spans="1:16" ht="17.25" customHeight="1" thickBot="1" x14ac:dyDescent="0.3">
      <c r="A54" s="40"/>
      <c r="B54" s="266" t="s">
        <v>71</v>
      </c>
      <c r="C54" s="267"/>
      <c r="D54" s="267"/>
      <c r="E54" s="267"/>
      <c r="F54" s="267"/>
      <c r="G54" s="267"/>
      <c r="H54" s="267"/>
      <c r="I54" s="265">
        <f>I53+I51</f>
        <v>153033.08586413483</v>
      </c>
      <c r="J54" s="49"/>
      <c r="K54" s="41"/>
      <c r="L54" s="41"/>
      <c r="P54" s="298"/>
    </row>
    <row r="55" spans="1:16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P55" s="40"/>
    </row>
    <row r="56" spans="1:16" x14ac:dyDescent="0.25">
      <c r="A56" s="93"/>
      <c r="C56" s="64"/>
      <c r="H56" s="93"/>
      <c r="I56" s="93"/>
      <c r="J56" s="93"/>
      <c r="K56" s="93"/>
      <c r="L56" s="93"/>
      <c r="P56" s="40"/>
    </row>
    <row r="57" spans="1:16" x14ac:dyDescent="0.25">
      <c r="H57" s="93"/>
      <c r="I57" s="93"/>
      <c r="J57" s="93"/>
      <c r="K57" s="93"/>
      <c r="L57" s="93"/>
      <c r="P57" s="40"/>
    </row>
  </sheetData>
  <mergeCells count="40">
    <mergeCell ref="K29:L29"/>
    <mergeCell ref="K26:L26"/>
    <mergeCell ref="K27:L27"/>
    <mergeCell ref="N44:N48"/>
    <mergeCell ref="D3:L3"/>
    <mergeCell ref="D4:L4"/>
    <mergeCell ref="K35:L35"/>
    <mergeCell ref="K36:L36"/>
    <mergeCell ref="K37:L37"/>
    <mergeCell ref="K43:L43"/>
    <mergeCell ref="N39:N43"/>
    <mergeCell ref="K41:L41"/>
    <mergeCell ref="N33:N37"/>
    <mergeCell ref="N15:N27"/>
    <mergeCell ref="K17:L17"/>
    <mergeCell ref="D7:E7"/>
    <mergeCell ref="A39:B41"/>
    <mergeCell ref="A15:B17"/>
    <mergeCell ref="A29:B31"/>
    <mergeCell ref="D10:E10"/>
    <mergeCell ref="K39:L39"/>
    <mergeCell ref="K19:L19"/>
    <mergeCell ref="K40:L40"/>
    <mergeCell ref="K30:L30"/>
    <mergeCell ref="K31:L31"/>
    <mergeCell ref="D13:L13"/>
    <mergeCell ref="K33:L33"/>
    <mergeCell ref="K34:L34"/>
    <mergeCell ref="K20:L20"/>
    <mergeCell ref="K21:L21"/>
    <mergeCell ref="K22:L22"/>
    <mergeCell ref="K15:L15"/>
    <mergeCell ref="K24:L24"/>
    <mergeCell ref="K25:L25"/>
    <mergeCell ref="N7:N11"/>
    <mergeCell ref="D8:E8"/>
    <mergeCell ref="D9:E9"/>
    <mergeCell ref="D11:E11"/>
    <mergeCell ref="K16:L16"/>
    <mergeCell ref="K23:L23"/>
  </mergeCells>
  <phoneticPr fontId="3" type="noConversion"/>
  <printOptions horizontalCentered="1"/>
  <pageMargins left="0.39370078740157483" right="0.39370078740157483" top="0.78740157480314965" bottom="0.59055118110236227" header="0.51181102362204722" footer="0.31496062992125984"/>
  <pageSetup paperSize="9" scale="70" fitToHeight="0" orientation="portrait" horizontalDpi="300" r:id="rId1"/>
  <headerFooter alignWithMargins="0">
    <oddFooter>&amp;L&amp;8Leitfaden Kostenabschätzung von Planungsleistungen  / 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F55"/>
  <sheetViews>
    <sheetView showGridLines="0" zoomScaleNormal="100" zoomScaleSheetLayoutView="145" workbookViewId="0">
      <selection activeCell="A23" sqref="A23"/>
    </sheetView>
  </sheetViews>
  <sheetFormatPr baseColWidth="10" defaultRowHeight="13.2" x14ac:dyDescent="0.25"/>
  <cols>
    <col min="1" max="1" width="13.5546875" customWidth="1"/>
    <col min="2" max="2" width="6.88671875" hidden="1" customWidth="1"/>
    <col min="3" max="3" width="3.6640625" customWidth="1"/>
    <col min="4" max="4" width="9.109375" customWidth="1"/>
    <col min="5" max="5" width="6.88671875" customWidth="1"/>
    <col min="6" max="7" width="6.33203125" customWidth="1"/>
    <col min="8" max="8" width="6.109375" customWidth="1"/>
    <col min="9" max="11" width="6.21875" bestFit="1" customWidth="1"/>
    <col min="12" max="13" width="6.109375" customWidth="1"/>
    <col min="14" max="16" width="5.5546875" bestFit="1" customWidth="1"/>
    <col min="17" max="17" width="8.5546875" customWidth="1"/>
    <col min="18" max="18" width="12.77734375" bestFit="1" customWidth="1"/>
    <col min="19" max="19" width="14.6640625" bestFit="1" customWidth="1"/>
    <col min="21" max="21" width="11.5546875" bestFit="1" customWidth="1"/>
    <col min="22" max="22" width="11.5546875" customWidth="1"/>
    <col min="23" max="24" width="11.5546875" bestFit="1" customWidth="1"/>
    <col min="25" max="25" width="11.5546875" customWidth="1"/>
    <col min="26" max="26" width="11.5546875" bestFit="1" customWidth="1"/>
  </cols>
  <sheetData>
    <row r="1" spans="1:42" ht="17.399999999999999" x14ac:dyDescent="0.3">
      <c r="A1" s="70" t="s">
        <v>197</v>
      </c>
    </row>
    <row r="2" spans="1:42" ht="17.399999999999999" x14ac:dyDescent="0.3">
      <c r="A2" s="70"/>
    </row>
    <row r="3" spans="1:42" s="33" customFormat="1" ht="15.6" x14ac:dyDescent="0.3">
      <c r="A3" s="32" t="s">
        <v>61</v>
      </c>
      <c r="B3" s="32"/>
      <c r="C3" s="32"/>
      <c r="E3" s="274" t="str">
        <f>Honorarberechnung!D3</f>
        <v>ABA BA 14, 6000 m Schmutz- und Regenwasserkanäle</v>
      </c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6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</row>
    <row r="4" spans="1:42" s="33" customFormat="1" ht="15.6" x14ac:dyDescent="0.3">
      <c r="A4" s="32" t="s">
        <v>62</v>
      </c>
      <c r="B4" s="32"/>
      <c r="C4" s="32"/>
      <c r="E4" s="274" t="str">
        <f>Honorarberechnung!D4</f>
        <v>AG 02</v>
      </c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6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</row>
    <row r="5" spans="1:42" s="33" customFormat="1" ht="15.6" x14ac:dyDescent="0.3">
      <c r="A5" s="32"/>
      <c r="B5" s="32"/>
      <c r="C5" s="32"/>
      <c r="D5" s="157"/>
      <c r="E5" s="157"/>
      <c r="F5" s="157"/>
      <c r="G5" s="157"/>
      <c r="H5" s="157"/>
      <c r="I5" s="157"/>
      <c r="J5" s="157"/>
      <c r="K5" s="157"/>
      <c r="L5" s="158"/>
      <c r="M5" s="158"/>
      <c r="N5" s="158"/>
      <c r="O5" s="158"/>
      <c r="P5" s="158"/>
      <c r="Q5" s="158"/>
      <c r="R5" s="157"/>
      <c r="T5" s="308"/>
      <c r="U5" s="47"/>
      <c r="V5" s="47"/>
      <c r="W5" s="47"/>
      <c r="X5" s="47"/>
      <c r="Y5" s="47"/>
      <c r="Z5" s="47"/>
      <c r="AA5" s="47"/>
      <c r="AB5"/>
      <c r="AC5"/>
      <c r="AD5"/>
      <c r="AE5"/>
      <c r="AF5"/>
      <c r="AG5"/>
      <c r="AH5"/>
      <c r="AI5"/>
      <c r="AJ5"/>
      <c r="AK5"/>
      <c r="AL5"/>
      <c r="AM5"/>
    </row>
    <row r="6" spans="1:42" ht="21.75" customHeight="1" x14ac:dyDescent="0.25">
      <c r="A6" s="414" t="s">
        <v>158</v>
      </c>
      <c r="B6" s="160"/>
      <c r="C6" s="420" t="s">
        <v>159</v>
      </c>
      <c r="D6" s="420" t="s">
        <v>160</v>
      </c>
      <c r="E6" s="420" t="s">
        <v>107</v>
      </c>
      <c r="F6" s="409" t="s">
        <v>229</v>
      </c>
      <c r="G6" s="411"/>
      <c r="H6" s="409" t="s">
        <v>141</v>
      </c>
      <c r="I6" s="410"/>
      <c r="J6" s="410"/>
      <c r="K6" s="411"/>
      <c r="L6" s="409" t="s">
        <v>161</v>
      </c>
      <c r="M6" s="411"/>
      <c r="N6" s="418" t="s">
        <v>143</v>
      </c>
      <c r="O6" s="419"/>
      <c r="P6" s="419"/>
      <c r="Q6" s="315" t="s">
        <v>228</v>
      </c>
      <c r="T6" s="47"/>
      <c r="U6" s="47"/>
      <c r="V6" s="47"/>
      <c r="W6" s="47"/>
      <c r="X6" s="47"/>
      <c r="Y6" s="47"/>
      <c r="Z6" s="47"/>
      <c r="AA6" s="47"/>
    </row>
    <row r="7" spans="1:42" s="134" customFormat="1" ht="19.5" customHeight="1" x14ac:dyDescent="0.25">
      <c r="A7" s="414"/>
      <c r="B7" s="414" t="s">
        <v>162</v>
      </c>
      <c r="C7" s="420"/>
      <c r="D7" s="420"/>
      <c r="E7" s="420"/>
      <c r="F7" s="412" t="s">
        <v>148</v>
      </c>
      <c r="G7" s="413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159" t="s">
        <v>163</v>
      </c>
      <c r="T7" s="333" t="s">
        <v>285</v>
      </c>
      <c r="U7" s="345"/>
      <c r="V7" s="345"/>
      <c r="W7" s="345"/>
      <c r="X7" s="47"/>
      <c r="Y7"/>
      <c r="Z7" s="333" t="s">
        <v>288</v>
      </c>
      <c r="AA7" s="345"/>
      <c r="AB7" s="345"/>
      <c r="AC7" s="345"/>
      <c r="AD7" s="47"/>
      <c r="AE7"/>
      <c r="AF7" s="333" t="s">
        <v>291</v>
      </c>
      <c r="AG7" s="345"/>
      <c r="AH7" s="345"/>
      <c r="AI7" s="345"/>
      <c r="AJ7" s="47"/>
      <c r="AL7" s="1" t="s">
        <v>307</v>
      </c>
      <c r="AM7" s="1"/>
      <c r="AN7" s="1"/>
      <c r="AO7" s="1"/>
      <c r="AP7" s="1"/>
    </row>
    <row r="8" spans="1:42" ht="14.25" customHeight="1" thickBot="1" x14ac:dyDescent="0.3">
      <c r="A8" s="414"/>
      <c r="B8" s="414"/>
      <c r="C8" s="420"/>
      <c r="D8" s="420"/>
      <c r="E8" s="420"/>
      <c r="F8" s="195">
        <v>1</v>
      </c>
      <c r="G8" s="195">
        <v>2</v>
      </c>
      <c r="H8" s="195">
        <v>3</v>
      </c>
      <c r="I8" s="195">
        <v>4</v>
      </c>
      <c r="J8" s="195">
        <v>5</v>
      </c>
      <c r="K8" s="195">
        <v>6</v>
      </c>
      <c r="L8" s="195">
        <v>7</v>
      </c>
      <c r="M8" s="195">
        <v>8</v>
      </c>
      <c r="N8" s="195">
        <v>9</v>
      </c>
      <c r="O8" s="195">
        <v>10</v>
      </c>
      <c r="P8" s="195">
        <v>11</v>
      </c>
      <c r="Q8" s="195">
        <v>12</v>
      </c>
      <c r="R8" s="161" t="s">
        <v>111</v>
      </c>
      <c r="S8" s="39"/>
      <c r="T8" s="310"/>
      <c r="U8" s="310"/>
      <c r="V8" s="310"/>
      <c r="W8" s="310"/>
      <c r="X8" s="310"/>
      <c r="Y8" s="136"/>
      <c r="Z8" s="310"/>
      <c r="AA8" s="310"/>
      <c r="AB8" s="310"/>
      <c r="AC8" s="310"/>
      <c r="AD8" s="310"/>
      <c r="AE8" s="136"/>
      <c r="AF8" s="310"/>
      <c r="AG8" s="310"/>
      <c r="AH8" s="310"/>
      <c r="AI8" s="310"/>
      <c r="AJ8" s="310"/>
    </row>
    <row r="9" spans="1:42" ht="14.4" customHeight="1" thickBot="1" x14ac:dyDescent="0.3">
      <c r="A9" s="162" t="s">
        <v>285</v>
      </c>
      <c r="B9" s="163" t="s">
        <v>286</v>
      </c>
      <c r="C9" s="164" t="s">
        <v>287</v>
      </c>
      <c r="D9" s="165">
        <f>X21</f>
        <v>109.90691208000001</v>
      </c>
      <c r="E9" s="222">
        <f>1679.1/12</f>
        <v>139.92499999999998</v>
      </c>
      <c r="F9" s="166">
        <v>0.15</v>
      </c>
      <c r="G9" s="166">
        <v>0.15</v>
      </c>
      <c r="H9" s="166">
        <v>0.4</v>
      </c>
      <c r="I9" s="166">
        <v>0.5</v>
      </c>
      <c r="J9" s="166">
        <v>0.5</v>
      </c>
      <c r="K9" s="166">
        <v>0.5</v>
      </c>
      <c r="L9" s="166">
        <v>1</v>
      </c>
      <c r="M9" s="166">
        <v>1</v>
      </c>
      <c r="N9" s="166">
        <v>0.2</v>
      </c>
      <c r="O9" s="166">
        <v>0.2</v>
      </c>
      <c r="P9" s="166">
        <v>0.2</v>
      </c>
      <c r="Q9" s="166"/>
      <c r="R9" s="167"/>
      <c r="S9" s="122" t="s">
        <v>164</v>
      </c>
      <c r="T9" s="346"/>
      <c r="U9" s="347"/>
      <c r="V9" s="347"/>
      <c r="W9" s="348" t="s">
        <v>298</v>
      </c>
      <c r="X9" s="349" t="s">
        <v>2</v>
      </c>
      <c r="Y9" s="136"/>
      <c r="Z9" s="346"/>
      <c r="AA9" s="347"/>
      <c r="AB9" s="347"/>
      <c r="AC9" s="348" t="s">
        <v>298</v>
      </c>
      <c r="AD9" s="349" t="s">
        <v>2</v>
      </c>
      <c r="AE9" s="136"/>
      <c r="AF9" s="346"/>
      <c r="AG9" s="347"/>
      <c r="AH9" s="347"/>
      <c r="AI9" s="348" t="s">
        <v>298</v>
      </c>
      <c r="AJ9" s="349" t="s">
        <v>2</v>
      </c>
      <c r="AK9" s="136"/>
      <c r="AL9" s="366"/>
      <c r="AM9" s="47"/>
      <c r="AN9" s="47"/>
      <c r="AO9" s="367" t="s">
        <v>308</v>
      </c>
      <c r="AP9" s="368" t="s">
        <v>309</v>
      </c>
    </row>
    <row r="10" spans="1:42" x14ac:dyDescent="0.25">
      <c r="A10" s="415" t="s">
        <v>172</v>
      </c>
      <c r="B10" s="416"/>
      <c r="C10" s="416"/>
      <c r="D10" s="416"/>
      <c r="E10" s="417"/>
      <c r="F10" s="224">
        <f>$E$9*F9</f>
        <v>20.988749999999996</v>
      </c>
      <c r="G10" s="224">
        <f>$E$9*G9</f>
        <v>20.988749999999996</v>
      </c>
      <c r="H10" s="224">
        <f t="shared" ref="H10:Q10" si="0">$E$9*H9</f>
        <v>55.97</v>
      </c>
      <c r="I10" s="224">
        <f t="shared" si="0"/>
        <v>69.962499999999991</v>
      </c>
      <c r="J10" s="224">
        <f t="shared" si="0"/>
        <v>69.962499999999991</v>
      </c>
      <c r="K10" s="224">
        <f t="shared" si="0"/>
        <v>69.962499999999991</v>
      </c>
      <c r="L10" s="224">
        <f t="shared" si="0"/>
        <v>139.92499999999998</v>
      </c>
      <c r="M10" s="224">
        <f t="shared" si="0"/>
        <v>139.92499999999998</v>
      </c>
      <c r="N10" s="224">
        <f t="shared" si="0"/>
        <v>27.984999999999999</v>
      </c>
      <c r="O10" s="224">
        <f t="shared" si="0"/>
        <v>27.984999999999999</v>
      </c>
      <c r="P10" s="224">
        <f t="shared" si="0"/>
        <v>27.984999999999999</v>
      </c>
      <c r="Q10" s="224">
        <f t="shared" si="0"/>
        <v>0</v>
      </c>
      <c r="R10" s="167"/>
      <c r="S10" s="168" t="s">
        <v>164</v>
      </c>
      <c r="T10" s="47"/>
      <c r="U10" s="47"/>
      <c r="V10" s="47"/>
      <c r="W10" s="47"/>
      <c r="X10" s="47"/>
      <c r="Y10" s="136"/>
      <c r="Z10" s="47"/>
      <c r="AA10" s="47"/>
      <c r="AB10" s="47"/>
      <c r="AC10" s="47"/>
      <c r="AD10" s="47"/>
      <c r="AE10" s="136"/>
      <c r="AF10" s="47"/>
      <c r="AG10" s="47"/>
      <c r="AH10" s="47"/>
      <c r="AI10" s="47"/>
      <c r="AJ10" s="47"/>
      <c r="AK10" s="136"/>
      <c r="AL10" s="47"/>
      <c r="AM10" s="47"/>
      <c r="AN10" s="47"/>
      <c r="AO10" s="47"/>
      <c r="AP10" s="47"/>
    </row>
    <row r="11" spans="1:42" x14ac:dyDescent="0.25">
      <c r="A11" s="415" t="s">
        <v>165</v>
      </c>
      <c r="B11" s="416"/>
      <c r="C11" s="416"/>
      <c r="D11" s="416"/>
      <c r="E11" s="417"/>
      <c r="F11" s="169">
        <f>$D$9*F10</f>
        <v>2306.8087009190999</v>
      </c>
      <c r="G11" s="169">
        <f>$D$9*G10</f>
        <v>2306.8087009190999</v>
      </c>
      <c r="H11" s="169">
        <f t="shared" ref="H11:Q11" si="1">$D$9*H10</f>
        <v>6151.4898691176004</v>
      </c>
      <c r="I11" s="169">
        <f t="shared" si="1"/>
        <v>7689.362336397</v>
      </c>
      <c r="J11" s="169">
        <f t="shared" si="1"/>
        <v>7689.362336397</v>
      </c>
      <c r="K11" s="169">
        <f t="shared" si="1"/>
        <v>7689.362336397</v>
      </c>
      <c r="L11" s="169">
        <f t="shared" si="1"/>
        <v>15378.724672794</v>
      </c>
      <c r="M11" s="169">
        <f t="shared" si="1"/>
        <v>15378.724672794</v>
      </c>
      <c r="N11" s="169">
        <f t="shared" si="1"/>
        <v>3075.7449345588002</v>
      </c>
      <c r="O11" s="169">
        <f t="shared" si="1"/>
        <v>3075.7449345588002</v>
      </c>
      <c r="P11" s="169">
        <f t="shared" si="1"/>
        <v>3075.7449345588002</v>
      </c>
      <c r="Q11" s="169">
        <f t="shared" si="1"/>
        <v>0</v>
      </c>
      <c r="R11" s="167">
        <f>SUM(F11:Q11)</f>
        <v>73817.878429411183</v>
      </c>
      <c r="S11" s="168"/>
      <c r="T11" s="48" t="s">
        <v>299</v>
      </c>
      <c r="U11" s="47"/>
      <c r="V11" s="47"/>
      <c r="W11" s="350"/>
      <c r="X11" s="351">
        <v>58</v>
      </c>
      <c r="Y11" s="136"/>
      <c r="Z11" s="48" t="s">
        <v>299</v>
      </c>
      <c r="AA11" s="47"/>
      <c r="AB11" s="47"/>
      <c r="AC11" s="350"/>
      <c r="AD11" s="351">
        <v>48</v>
      </c>
      <c r="AE11" s="136"/>
      <c r="AF11" s="48" t="s">
        <v>299</v>
      </c>
      <c r="AG11" s="47"/>
      <c r="AH11" s="47"/>
      <c r="AI11" s="350"/>
      <c r="AJ11" s="351">
        <v>28</v>
      </c>
      <c r="AK11" s="136"/>
      <c r="AL11" s="333" t="s">
        <v>291</v>
      </c>
      <c r="AM11" s="47"/>
      <c r="AN11" s="47"/>
      <c r="AO11" s="369">
        <v>0.03</v>
      </c>
      <c r="AP11" s="370">
        <f>AJ21</f>
        <v>53.058509279999996</v>
      </c>
    </row>
    <row r="12" spans="1:42" ht="14.4" customHeight="1" x14ac:dyDescent="0.25">
      <c r="A12" s="170" t="s">
        <v>288</v>
      </c>
      <c r="B12" s="171" t="s">
        <v>289</v>
      </c>
      <c r="C12" s="172" t="s">
        <v>290</v>
      </c>
      <c r="D12" s="173">
        <f>AD21</f>
        <v>90.957444480000007</v>
      </c>
      <c r="E12" s="223">
        <f>1679.1/12</f>
        <v>139.92499999999998</v>
      </c>
      <c r="F12" s="174">
        <v>0.1</v>
      </c>
      <c r="G12" s="174">
        <v>0.15</v>
      </c>
      <c r="H12" s="174">
        <v>0.45</v>
      </c>
      <c r="I12" s="174">
        <v>0.45</v>
      </c>
      <c r="J12" s="174">
        <v>0.5</v>
      </c>
      <c r="K12" s="174">
        <v>0.5</v>
      </c>
      <c r="L12" s="174">
        <v>1</v>
      </c>
      <c r="M12" s="174">
        <v>1</v>
      </c>
      <c r="N12" s="174">
        <v>0</v>
      </c>
      <c r="O12" s="174">
        <v>0</v>
      </c>
      <c r="P12" s="174">
        <v>0</v>
      </c>
      <c r="Q12" s="174"/>
      <c r="R12" s="167"/>
      <c r="S12" s="122"/>
      <c r="T12" s="352" t="s">
        <v>300</v>
      </c>
      <c r="U12" s="353"/>
      <c r="V12" s="47"/>
      <c r="W12" s="354">
        <v>0.33</v>
      </c>
      <c r="X12" s="355">
        <f>X11*W12</f>
        <v>19.14</v>
      </c>
      <c r="Y12" s="136"/>
      <c r="Z12" s="352" t="s">
        <v>300</v>
      </c>
      <c r="AA12" s="353"/>
      <c r="AB12" s="47"/>
      <c r="AC12" s="354">
        <v>0.33</v>
      </c>
      <c r="AD12" s="355">
        <f>AD11*AC12</f>
        <v>15.84</v>
      </c>
      <c r="AE12" s="136"/>
      <c r="AF12" s="352" t="s">
        <v>300</v>
      </c>
      <c r="AG12" s="353"/>
      <c r="AH12" s="47"/>
      <c r="AI12" s="354">
        <v>0.33</v>
      </c>
      <c r="AJ12" s="355">
        <f>AJ11*AI12</f>
        <v>9.24</v>
      </c>
      <c r="AK12" s="136"/>
      <c r="AL12" s="333" t="s">
        <v>288</v>
      </c>
      <c r="AM12" s="47"/>
      <c r="AN12" s="47"/>
      <c r="AO12" s="369">
        <v>0.45</v>
      </c>
      <c r="AP12" s="370">
        <f>AD21</f>
        <v>90.957444480000007</v>
      </c>
    </row>
    <row r="13" spans="1:42" x14ac:dyDescent="0.25">
      <c r="A13" s="415" t="s">
        <v>172</v>
      </c>
      <c r="B13" s="416"/>
      <c r="C13" s="416"/>
      <c r="D13" s="416"/>
      <c r="E13" s="417"/>
      <c r="F13" s="225">
        <f t="shared" ref="F13:Q13" si="2">$E$12*F12</f>
        <v>13.9925</v>
      </c>
      <c r="G13" s="225">
        <f t="shared" ref="G13" si="3">$E$12*G12</f>
        <v>20.988749999999996</v>
      </c>
      <c r="H13" s="225">
        <f t="shared" si="2"/>
        <v>62.966249999999995</v>
      </c>
      <c r="I13" s="225">
        <f t="shared" si="2"/>
        <v>62.966249999999995</v>
      </c>
      <c r="J13" s="225">
        <f t="shared" si="2"/>
        <v>69.962499999999991</v>
      </c>
      <c r="K13" s="225">
        <f t="shared" si="2"/>
        <v>69.962499999999991</v>
      </c>
      <c r="L13" s="225">
        <f t="shared" si="2"/>
        <v>139.92499999999998</v>
      </c>
      <c r="M13" s="225">
        <f t="shared" si="2"/>
        <v>139.92499999999998</v>
      </c>
      <c r="N13" s="225">
        <f t="shared" si="2"/>
        <v>0</v>
      </c>
      <c r="O13" s="225">
        <f t="shared" si="2"/>
        <v>0</v>
      </c>
      <c r="P13" s="225">
        <f t="shared" si="2"/>
        <v>0</v>
      </c>
      <c r="Q13" s="225">
        <f t="shared" si="2"/>
        <v>0</v>
      </c>
      <c r="R13" s="167"/>
      <c r="S13" s="168"/>
      <c r="T13" s="47" t="s">
        <v>301</v>
      </c>
      <c r="U13" s="47"/>
      <c r="V13" s="47"/>
      <c r="W13" s="356"/>
      <c r="X13" s="357">
        <f>SUM(X11:X12)</f>
        <v>77.14</v>
      </c>
      <c r="Y13" s="136"/>
      <c r="Z13" s="47" t="s">
        <v>301</v>
      </c>
      <c r="AA13" s="47"/>
      <c r="AB13" s="47"/>
      <c r="AC13" s="356"/>
      <c r="AD13" s="357">
        <f>SUM(AD11:AD12)</f>
        <v>63.84</v>
      </c>
      <c r="AE13" s="136"/>
      <c r="AF13" s="47" t="s">
        <v>301</v>
      </c>
      <c r="AG13" s="47"/>
      <c r="AH13" s="47"/>
      <c r="AI13" s="356"/>
      <c r="AJ13" s="357">
        <f>SUM(AJ11:AJ12)</f>
        <v>37.24</v>
      </c>
      <c r="AK13" s="136"/>
      <c r="AL13" s="333" t="s">
        <v>285</v>
      </c>
      <c r="AM13" s="47"/>
      <c r="AN13" s="47"/>
      <c r="AO13" s="369">
        <v>0.52</v>
      </c>
      <c r="AP13" s="370">
        <f>X21</f>
        <v>109.90691208000001</v>
      </c>
    </row>
    <row r="14" spans="1:42" x14ac:dyDescent="0.25">
      <c r="A14" s="415" t="s">
        <v>165</v>
      </c>
      <c r="B14" s="416"/>
      <c r="C14" s="416"/>
      <c r="D14" s="416"/>
      <c r="E14" s="417"/>
      <c r="F14" s="175">
        <f t="shared" ref="F14:Q14" si="4">$D$12*F13</f>
        <v>1272.7220418864001</v>
      </c>
      <c r="G14" s="175">
        <f t="shared" ref="G14" si="5">$D$12*G13</f>
        <v>1909.0830628295998</v>
      </c>
      <c r="H14" s="175">
        <f t="shared" si="4"/>
        <v>5727.2491884888004</v>
      </c>
      <c r="I14" s="175">
        <f t="shared" si="4"/>
        <v>5727.2491884888004</v>
      </c>
      <c r="J14" s="175">
        <f t="shared" si="4"/>
        <v>6363.6102094319995</v>
      </c>
      <c r="K14" s="175">
        <f t="shared" si="4"/>
        <v>6363.6102094319995</v>
      </c>
      <c r="L14" s="175">
        <f t="shared" si="4"/>
        <v>12727.220418863999</v>
      </c>
      <c r="M14" s="175">
        <f t="shared" si="4"/>
        <v>12727.220418863999</v>
      </c>
      <c r="N14" s="175">
        <f t="shared" si="4"/>
        <v>0</v>
      </c>
      <c r="O14" s="175">
        <f t="shared" si="4"/>
        <v>0</v>
      </c>
      <c r="P14" s="175">
        <f t="shared" si="4"/>
        <v>0</v>
      </c>
      <c r="Q14" s="175">
        <f t="shared" si="4"/>
        <v>0</v>
      </c>
      <c r="R14" s="167">
        <f>SUM(F14:Q14)</f>
        <v>52817.964738285606</v>
      </c>
      <c r="S14" s="168"/>
      <c r="T14" s="47"/>
      <c r="U14" s="47"/>
      <c r="V14" s="47"/>
      <c r="W14" s="356"/>
      <c r="X14" s="358"/>
      <c r="Y14" s="136"/>
      <c r="Z14" s="47"/>
      <c r="AA14" s="47"/>
      <c r="AB14" s="47"/>
      <c r="AC14" s="356"/>
      <c r="AD14" s="358"/>
      <c r="AE14" s="136"/>
      <c r="AF14" s="47"/>
      <c r="AG14" s="47"/>
      <c r="AH14" s="47"/>
      <c r="AI14" s="356"/>
      <c r="AJ14" s="358"/>
      <c r="AK14" s="136"/>
      <c r="AL14" s="371"/>
      <c r="AM14" s="353"/>
      <c r="AN14" s="47"/>
      <c r="AO14" s="369"/>
      <c r="AP14" s="370"/>
    </row>
    <row r="15" spans="1:42" ht="14.4" customHeight="1" x14ac:dyDescent="0.25">
      <c r="A15" s="162" t="s">
        <v>291</v>
      </c>
      <c r="B15" s="163" t="s">
        <v>292</v>
      </c>
      <c r="C15" s="164" t="s">
        <v>293</v>
      </c>
      <c r="D15" s="165">
        <f>AJ21</f>
        <v>53.058509279999996</v>
      </c>
      <c r="E15" s="222">
        <f>1679.1/12</f>
        <v>139.92499999999998</v>
      </c>
      <c r="F15" s="166">
        <v>0.05</v>
      </c>
      <c r="G15" s="166">
        <v>0.05</v>
      </c>
      <c r="H15" s="166">
        <v>0.05</v>
      </c>
      <c r="I15" s="166">
        <v>0.05</v>
      </c>
      <c r="J15" s="166">
        <v>0.05</v>
      </c>
      <c r="K15" s="166">
        <v>0.05</v>
      </c>
      <c r="L15" s="166">
        <v>0.1</v>
      </c>
      <c r="M15" s="166">
        <v>0.1</v>
      </c>
      <c r="N15" s="166">
        <v>0</v>
      </c>
      <c r="O15" s="166">
        <v>0</v>
      </c>
      <c r="P15" s="166">
        <v>0</v>
      </c>
      <c r="Q15" s="166"/>
      <c r="R15" s="167"/>
      <c r="S15" s="122"/>
      <c r="T15" s="352" t="s">
        <v>302</v>
      </c>
      <c r="U15" s="353"/>
      <c r="V15" s="47"/>
      <c r="W15" s="354">
        <v>0.24979999999999999</v>
      </c>
      <c r="X15" s="355">
        <f>X13*W15</f>
        <v>19.269572</v>
      </c>
      <c r="Y15" s="136"/>
      <c r="Z15" s="352" t="s">
        <v>302</v>
      </c>
      <c r="AA15" s="353"/>
      <c r="AB15" s="47"/>
      <c r="AC15" s="354">
        <v>0.24979999999999999</v>
      </c>
      <c r="AD15" s="355">
        <f>AD13*AC15</f>
        <v>15.947232</v>
      </c>
      <c r="AE15" s="136"/>
      <c r="AF15" s="352" t="s">
        <v>302</v>
      </c>
      <c r="AG15" s="353"/>
      <c r="AH15" s="47"/>
      <c r="AI15" s="354">
        <v>0.24979999999999999</v>
      </c>
      <c r="AJ15" s="355">
        <f>AJ13*AI15</f>
        <v>9.3025520000000004</v>
      </c>
      <c r="AK15" s="136"/>
      <c r="AL15" s="48" t="s">
        <v>299</v>
      </c>
      <c r="AM15" s="47"/>
      <c r="AN15" s="47"/>
      <c r="AO15" s="372">
        <f>SUM(AO11:AO14)</f>
        <v>1</v>
      </c>
      <c r="AP15" s="373">
        <f>AP11*AO11+AP12*AO12+AP13*AO13+AP14*AO14</f>
        <v>99.674199576000007</v>
      </c>
    </row>
    <row r="16" spans="1:42" x14ac:dyDescent="0.25">
      <c r="A16" s="415" t="s">
        <v>172</v>
      </c>
      <c r="B16" s="416"/>
      <c r="C16" s="416"/>
      <c r="D16" s="416"/>
      <c r="E16" s="417"/>
      <c r="F16" s="224">
        <f t="shared" ref="F16:Q16" si="6">$E$15*F15</f>
        <v>6.9962499999999999</v>
      </c>
      <c r="G16" s="224">
        <f t="shared" ref="G16" si="7">$E$15*G15</f>
        <v>6.9962499999999999</v>
      </c>
      <c r="H16" s="224">
        <f t="shared" si="6"/>
        <v>6.9962499999999999</v>
      </c>
      <c r="I16" s="224">
        <f t="shared" si="6"/>
        <v>6.9962499999999999</v>
      </c>
      <c r="J16" s="224">
        <f t="shared" si="6"/>
        <v>6.9962499999999999</v>
      </c>
      <c r="K16" s="224">
        <f t="shared" si="6"/>
        <v>6.9962499999999999</v>
      </c>
      <c r="L16" s="224">
        <f t="shared" si="6"/>
        <v>13.9925</v>
      </c>
      <c r="M16" s="224">
        <f t="shared" si="6"/>
        <v>13.9925</v>
      </c>
      <c r="N16" s="224">
        <f t="shared" si="6"/>
        <v>0</v>
      </c>
      <c r="O16" s="224">
        <f t="shared" si="6"/>
        <v>0</v>
      </c>
      <c r="P16" s="224">
        <f t="shared" si="6"/>
        <v>0</v>
      </c>
      <c r="Q16" s="224">
        <f t="shared" si="6"/>
        <v>0</v>
      </c>
      <c r="R16" s="167"/>
      <c r="S16" s="168"/>
      <c r="T16" s="47" t="s">
        <v>303</v>
      </c>
      <c r="U16" s="47"/>
      <c r="V16" s="47"/>
      <c r="W16" s="356"/>
      <c r="X16" s="357">
        <f>SUM(X13:X15)</f>
        <v>96.409571999999997</v>
      </c>
      <c r="Y16" s="136"/>
      <c r="Z16" s="47" t="s">
        <v>303</v>
      </c>
      <c r="AA16" s="47"/>
      <c r="AB16" s="47"/>
      <c r="AC16" s="356"/>
      <c r="AD16" s="357">
        <f>SUM(AD13:AD15)</f>
        <v>79.787232000000003</v>
      </c>
      <c r="AE16" s="136"/>
      <c r="AF16" s="47" t="s">
        <v>303</v>
      </c>
      <c r="AG16" s="47"/>
      <c r="AH16" s="47"/>
      <c r="AI16" s="356"/>
      <c r="AJ16" s="357">
        <f>SUM(AJ13:AJ15)</f>
        <v>46.542552000000001</v>
      </c>
      <c r="AK16" s="136"/>
      <c r="AL16" s="136"/>
      <c r="AM16" s="136"/>
      <c r="AN16" s="136"/>
      <c r="AO16" s="136"/>
    </row>
    <row r="17" spans="1:41" x14ac:dyDescent="0.25">
      <c r="A17" s="415" t="s">
        <v>165</v>
      </c>
      <c r="B17" s="416"/>
      <c r="C17" s="416"/>
      <c r="D17" s="416"/>
      <c r="E17" s="417"/>
      <c r="F17" s="169">
        <f t="shared" ref="F17:L17" si="8">$D$15*F16</f>
        <v>371.21059555019997</v>
      </c>
      <c r="G17" s="169">
        <f t="shared" ref="G17" si="9">$D$15*G16</f>
        <v>371.21059555019997</v>
      </c>
      <c r="H17" s="169">
        <f t="shared" si="8"/>
        <v>371.21059555019997</v>
      </c>
      <c r="I17" s="169">
        <f t="shared" si="8"/>
        <v>371.21059555019997</v>
      </c>
      <c r="J17" s="169">
        <f t="shared" si="8"/>
        <v>371.21059555019997</v>
      </c>
      <c r="K17" s="169">
        <f t="shared" si="8"/>
        <v>371.21059555019997</v>
      </c>
      <c r="L17" s="169">
        <f t="shared" si="8"/>
        <v>742.42119110039994</v>
      </c>
      <c r="M17" s="169">
        <f>$D$15*M16</f>
        <v>742.42119110039994</v>
      </c>
      <c r="N17" s="169">
        <f>$D$15*N16</f>
        <v>0</v>
      </c>
      <c r="O17" s="169">
        <f>$D$15*O16</f>
        <v>0</v>
      </c>
      <c r="P17" s="169">
        <f>$D$15*P16</f>
        <v>0</v>
      </c>
      <c r="Q17" s="169">
        <f>$D$15*Q16</f>
        <v>0</v>
      </c>
      <c r="R17" s="167">
        <f>SUM(F17:Q17)</f>
        <v>3712.1059555019997</v>
      </c>
      <c r="S17" s="168"/>
      <c r="T17" s="47"/>
      <c r="U17" s="47"/>
      <c r="V17" s="47"/>
      <c r="W17" s="356"/>
      <c r="X17" s="358"/>
      <c r="Z17" s="47"/>
      <c r="AA17" s="47"/>
      <c r="AB17" s="47"/>
      <c r="AC17" s="356"/>
      <c r="AD17" s="358"/>
      <c r="AF17" s="47"/>
      <c r="AG17" s="47"/>
      <c r="AH17" s="47"/>
      <c r="AI17" s="356"/>
      <c r="AJ17" s="358"/>
      <c r="AK17" s="136"/>
      <c r="AL17" s="136"/>
      <c r="AM17" s="136"/>
      <c r="AN17" s="136"/>
      <c r="AO17" s="136"/>
    </row>
    <row r="18" spans="1:41" ht="6.9" customHeight="1" x14ac:dyDescent="0.25">
      <c r="A18" s="39"/>
      <c r="B18" s="39"/>
      <c r="C18" s="39"/>
      <c r="D18" s="176"/>
      <c r="E18" s="176"/>
      <c r="F18" s="176"/>
      <c r="G18" s="176"/>
      <c r="H18" s="176"/>
      <c r="I18" s="176"/>
      <c r="J18" s="176"/>
      <c r="K18" s="176"/>
      <c r="L18" s="177"/>
      <c r="M18" s="177"/>
      <c r="N18" s="177"/>
      <c r="O18" s="177"/>
      <c r="P18" s="177"/>
      <c r="Q18" s="177"/>
      <c r="R18" s="178"/>
      <c r="S18" s="39"/>
      <c r="T18" s="359" t="s">
        <v>304</v>
      </c>
      <c r="U18" s="47"/>
      <c r="V18" s="47"/>
      <c r="W18" s="360">
        <v>7.0000000000000007E-2</v>
      </c>
      <c r="X18" s="361">
        <f>X16*W18</f>
        <v>6.7486700400000004</v>
      </c>
      <c r="Z18" s="359" t="s">
        <v>304</v>
      </c>
      <c r="AA18" s="47"/>
      <c r="AB18" s="47"/>
      <c r="AC18" s="360">
        <v>7.0000000000000007E-2</v>
      </c>
      <c r="AD18" s="361">
        <f>AD16*AC18</f>
        <v>5.5851062400000009</v>
      </c>
      <c r="AF18" s="359" t="s">
        <v>304</v>
      </c>
      <c r="AG18" s="47"/>
      <c r="AH18" s="47"/>
      <c r="AI18" s="360">
        <v>7.0000000000000007E-2</v>
      </c>
      <c r="AJ18" s="361">
        <f>AJ16*AI18</f>
        <v>3.2579786400000001</v>
      </c>
    </row>
    <row r="19" spans="1:41" ht="15" customHeight="1" x14ac:dyDescent="0.25">
      <c r="A19" s="179" t="s">
        <v>166</v>
      </c>
      <c r="B19" s="180"/>
      <c r="C19" s="180"/>
      <c r="D19" s="181"/>
      <c r="E19" s="182"/>
      <c r="F19" s="183">
        <f t="shared" ref="F19:L19" si="10">F10+F13+F16</f>
        <v>41.977499999999992</v>
      </c>
      <c r="G19" s="183">
        <f t="shared" si="10"/>
        <v>48.973749999999995</v>
      </c>
      <c r="H19" s="183">
        <f t="shared" si="10"/>
        <v>125.9325</v>
      </c>
      <c r="I19" s="183">
        <f t="shared" si="10"/>
        <v>139.92499999999998</v>
      </c>
      <c r="J19" s="183">
        <f t="shared" si="10"/>
        <v>146.92124999999999</v>
      </c>
      <c r="K19" s="183">
        <f t="shared" si="10"/>
        <v>146.92124999999999</v>
      </c>
      <c r="L19" s="183">
        <f t="shared" si="10"/>
        <v>293.84249999999997</v>
      </c>
      <c r="M19" s="183">
        <f>M10+M13+M16</f>
        <v>293.84249999999997</v>
      </c>
      <c r="N19" s="183">
        <f>N10+N13+N16</f>
        <v>27.984999999999999</v>
      </c>
      <c r="O19" s="183">
        <f>O10+O13+O16</f>
        <v>27.984999999999999</v>
      </c>
      <c r="P19" s="183">
        <f>P10+P13+P16</f>
        <v>27.984999999999999</v>
      </c>
      <c r="Q19" s="183">
        <f>Q10+Q13+Q16</f>
        <v>0</v>
      </c>
      <c r="R19" s="184"/>
      <c r="S19" s="185"/>
      <c r="T19" s="352" t="s">
        <v>305</v>
      </c>
      <c r="U19" s="353"/>
      <c r="V19" s="47"/>
      <c r="W19" s="354">
        <v>7.0000000000000007E-2</v>
      </c>
      <c r="X19" s="355">
        <f>X16*W19</f>
        <v>6.7486700400000004</v>
      </c>
      <c r="Z19" s="352" t="s">
        <v>305</v>
      </c>
      <c r="AA19" s="353"/>
      <c r="AB19" s="47"/>
      <c r="AC19" s="354">
        <v>7.0000000000000007E-2</v>
      </c>
      <c r="AD19" s="355">
        <f>AD16*AC19</f>
        <v>5.5851062400000009</v>
      </c>
      <c r="AF19" s="352" t="s">
        <v>305</v>
      </c>
      <c r="AG19" s="353"/>
      <c r="AH19" s="47"/>
      <c r="AI19" s="354">
        <v>7.0000000000000007E-2</v>
      </c>
      <c r="AJ19" s="355">
        <f>AJ16*AI19</f>
        <v>3.2579786400000001</v>
      </c>
    </row>
    <row r="20" spans="1:41" ht="6.9" customHeight="1" thickBot="1" x14ac:dyDescent="0.3">
      <c r="A20" s="39"/>
      <c r="B20" s="39"/>
      <c r="C20" s="39"/>
      <c r="D20" s="176"/>
      <c r="E20" s="176"/>
      <c r="F20" s="176"/>
      <c r="G20" s="176"/>
      <c r="H20" s="176"/>
      <c r="I20" s="176"/>
      <c r="J20" s="176"/>
      <c r="K20" s="176"/>
      <c r="L20" s="177"/>
      <c r="M20" s="177"/>
      <c r="N20" s="177"/>
      <c r="O20" s="177"/>
      <c r="P20" s="177"/>
      <c r="Q20" s="177"/>
      <c r="R20" s="178"/>
      <c r="S20" s="39"/>
      <c r="T20" s="47"/>
      <c r="U20" s="47"/>
      <c r="V20" s="47"/>
      <c r="W20" s="362"/>
      <c r="X20" s="363"/>
      <c r="Y20" s="1"/>
      <c r="Z20" s="47"/>
      <c r="AA20" s="47"/>
      <c r="AB20" s="47"/>
      <c r="AC20" s="362"/>
      <c r="AD20" s="363"/>
      <c r="AE20" s="1"/>
      <c r="AF20" s="47"/>
      <c r="AG20" s="47"/>
      <c r="AH20" s="47"/>
      <c r="AI20" s="362"/>
      <c r="AJ20" s="363"/>
    </row>
    <row r="21" spans="1:41" s="1" customFormat="1" ht="15" customHeight="1" thickBot="1" x14ac:dyDescent="0.35">
      <c r="A21" s="179" t="s">
        <v>156</v>
      </c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6"/>
      <c r="M21" s="186"/>
      <c r="N21" s="186"/>
      <c r="O21" s="186"/>
      <c r="P21" s="186"/>
      <c r="Q21" s="186"/>
      <c r="R21" s="187">
        <f>SUM(R9:R17)</f>
        <v>130347.94912319879</v>
      </c>
      <c r="S21" s="39"/>
      <c r="T21" s="309" t="s">
        <v>306</v>
      </c>
      <c r="U21" s="47"/>
      <c r="V21" s="47"/>
      <c r="W21" s="364"/>
      <c r="X21" s="365">
        <f>SUM(X16:X20)</f>
        <v>109.90691208000001</v>
      </c>
      <c r="Y21"/>
      <c r="Z21" s="309" t="s">
        <v>306</v>
      </c>
      <c r="AA21" s="47"/>
      <c r="AB21" s="47"/>
      <c r="AC21" s="364"/>
      <c r="AD21" s="365">
        <f>SUM(AD16:AD20)</f>
        <v>90.957444480000007</v>
      </c>
      <c r="AE21"/>
      <c r="AF21" s="309" t="s">
        <v>306</v>
      </c>
      <c r="AG21" s="47"/>
      <c r="AH21" s="47"/>
      <c r="AI21" s="364"/>
      <c r="AJ21" s="365">
        <f>SUM(AJ16:AJ20)</f>
        <v>53.058509279999996</v>
      </c>
    </row>
    <row r="22" spans="1:41" ht="12" customHeight="1" x14ac:dyDescent="0.25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47"/>
      <c r="U22" s="47"/>
      <c r="V22" s="47"/>
      <c r="W22" s="47"/>
      <c r="X22" s="47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41" s="1" customFormat="1" ht="13.8" x14ac:dyDescent="0.25">
      <c r="A23" s="188" t="s">
        <v>207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90"/>
      <c r="M23" s="190"/>
      <c r="N23" s="190"/>
      <c r="O23" s="190"/>
      <c r="P23" s="190"/>
      <c r="Q23" s="190"/>
      <c r="R23" s="191"/>
      <c r="S23" s="178"/>
    </row>
    <row r="24" spans="1:41" ht="6.75" customHeight="1" x14ac:dyDescent="0.25">
      <c r="A24" s="178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</row>
    <row r="25" spans="1:41" s="1" customFormat="1" ht="13.8" x14ac:dyDescent="0.25">
      <c r="A25" s="188" t="s">
        <v>208</v>
      </c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91"/>
      <c r="S25" s="178"/>
    </row>
    <row r="26" spans="1:41" ht="6.75" customHeight="1" x14ac:dyDescent="0.25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</row>
    <row r="27" spans="1:41" s="1" customFormat="1" ht="15" customHeight="1" x14ac:dyDescent="0.25">
      <c r="A27" s="179" t="s">
        <v>156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92">
        <f>SUM(R21,R23,R25)</f>
        <v>130347.94912319879</v>
      </c>
      <c r="S27" s="178"/>
    </row>
    <row r="28" spans="1:41" ht="12.75" customHeight="1" x14ac:dyDescent="0.25">
      <c r="A28" s="178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</row>
    <row r="29" spans="1:41" s="1" customFormat="1" ht="13.8" x14ac:dyDescent="0.25">
      <c r="A29" s="188" t="s">
        <v>167</v>
      </c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93">
        <v>0</v>
      </c>
      <c r="S29" s="291"/>
    </row>
    <row r="30" spans="1:41" ht="6.9" customHeight="1" x14ac:dyDescent="0.25">
      <c r="A30" s="178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292"/>
    </row>
    <row r="31" spans="1:41" s="1" customFormat="1" ht="13.8" x14ac:dyDescent="0.25">
      <c r="A31" s="271" t="s">
        <v>76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3">
        <f>R27*(1+R29)</f>
        <v>130347.94912319879</v>
      </c>
      <c r="S31" s="291"/>
    </row>
    <row r="32" spans="1:41" ht="12" customHeight="1" x14ac:dyDescent="0.25">
      <c r="A32" s="178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292"/>
    </row>
    <row r="33" spans="1:84" s="1" customFormat="1" ht="13.8" x14ac:dyDescent="0.25">
      <c r="A33" s="188" t="s">
        <v>168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94">
        <f>R31*0.2</f>
        <v>26069.589824639759</v>
      </c>
      <c r="S33" s="293"/>
    </row>
    <row r="34" spans="1:84" ht="6.9" customHeight="1" x14ac:dyDescent="0.25">
      <c r="A34" s="178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292"/>
    </row>
    <row r="35" spans="1:84" s="1" customFormat="1" ht="13.8" x14ac:dyDescent="0.25">
      <c r="A35" s="271" t="s">
        <v>71</v>
      </c>
      <c r="B35" s="272"/>
      <c r="C35" s="272"/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3">
        <f>R31+R33</f>
        <v>156417.53894783856</v>
      </c>
      <c r="S35" s="291"/>
    </row>
    <row r="36" spans="1:84" x14ac:dyDescent="0.25">
      <c r="S36" s="226"/>
    </row>
    <row r="37" spans="1:84" x14ac:dyDescent="0.25">
      <c r="A37" s="39" t="s">
        <v>210</v>
      </c>
      <c r="S37" s="226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</row>
    <row r="38" spans="1:84" x14ac:dyDescent="0.25">
      <c r="S38" s="226"/>
      <c r="U38" s="28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</row>
    <row r="39" spans="1:84" x14ac:dyDescent="0.25"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</row>
    <row r="40" spans="1:84" x14ac:dyDescent="0.25"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289"/>
      <c r="BE40" s="289"/>
      <c r="BF40" s="289"/>
      <c r="BG40" s="289"/>
      <c r="BH40" s="289"/>
      <c r="BI40" s="289"/>
      <c r="BJ40" s="289"/>
      <c r="BK40" s="289"/>
      <c r="BL40" s="289"/>
      <c r="BM40" s="289"/>
      <c r="BN40" s="289"/>
      <c r="BO40" s="289"/>
      <c r="BP40" s="289"/>
      <c r="BQ40" s="289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</row>
    <row r="41" spans="1:84" x14ac:dyDescent="0.25"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289"/>
      <c r="AM41" s="289"/>
      <c r="AN41" s="289"/>
      <c r="AO41" s="289"/>
      <c r="AP41" s="289"/>
      <c r="AQ41" s="289"/>
      <c r="AR41" s="289"/>
      <c r="AS41" s="289"/>
      <c r="AT41" s="289"/>
      <c r="AU41" s="289"/>
      <c r="AV41" s="289"/>
      <c r="AW41" s="289"/>
      <c r="AX41" s="289"/>
      <c r="AY41" s="289"/>
      <c r="AZ41" s="289"/>
      <c r="BA41" s="289"/>
      <c r="BB41" s="289"/>
      <c r="BC41" s="289"/>
      <c r="BD41" s="289"/>
      <c r="BE41" s="289"/>
      <c r="BF41" s="289"/>
      <c r="BG41" s="289"/>
      <c r="BH41" s="289"/>
      <c r="BI41" s="289"/>
      <c r="BJ41" s="289"/>
      <c r="BK41" s="289"/>
      <c r="BL41" s="289"/>
      <c r="BM41" s="289"/>
      <c r="BN41" s="289"/>
      <c r="BO41" s="289"/>
      <c r="BP41" s="289"/>
      <c r="BQ41" s="289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</row>
    <row r="42" spans="1:84" x14ac:dyDescent="0.25"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289"/>
      <c r="AM42" s="289"/>
      <c r="AN42" s="289"/>
      <c r="AO42" s="289"/>
      <c r="AP42" s="289"/>
      <c r="AQ42" s="289"/>
      <c r="AR42" s="289"/>
      <c r="AS42" s="289"/>
      <c r="AT42" s="289"/>
      <c r="AU42" s="289"/>
      <c r="AV42" s="289"/>
      <c r="AW42" s="289"/>
      <c r="AX42" s="289"/>
      <c r="AY42" s="289"/>
      <c r="AZ42" s="289"/>
      <c r="BA42" s="289"/>
      <c r="BB42" s="289"/>
      <c r="BC42" s="289"/>
      <c r="BD42" s="289"/>
      <c r="BE42" s="289"/>
      <c r="BF42" s="289"/>
      <c r="BG42" s="289"/>
      <c r="BH42" s="289"/>
      <c r="BI42" s="289"/>
      <c r="BJ42" s="289"/>
      <c r="BK42" s="289"/>
      <c r="BL42" s="289"/>
      <c r="BM42" s="289"/>
      <c r="BN42" s="289"/>
      <c r="BO42" s="289"/>
      <c r="BP42" s="289"/>
      <c r="BQ42" s="289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</row>
    <row r="43" spans="1:84" x14ac:dyDescent="0.25"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</row>
    <row r="44" spans="1:84" x14ac:dyDescent="0.25">
      <c r="U44" s="288"/>
      <c r="V44" s="288"/>
      <c r="W44" s="288"/>
      <c r="X44" s="288"/>
      <c r="Y44" s="288"/>
      <c r="Z44" s="288"/>
      <c r="AA44" s="288"/>
      <c r="AB44" s="288"/>
      <c r="AC44" s="288"/>
      <c r="AD44" s="288"/>
      <c r="AE44" s="288"/>
      <c r="AF44" s="288"/>
      <c r="AG44" s="288"/>
      <c r="AH44" s="288"/>
      <c r="AI44" s="288"/>
      <c r="AJ44" s="28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</row>
    <row r="45" spans="1:84" x14ac:dyDescent="0.25"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</row>
    <row r="46" spans="1:84" x14ac:dyDescent="0.25">
      <c r="U46" s="290"/>
      <c r="V46" s="290"/>
      <c r="W46" s="290"/>
      <c r="X46" s="290"/>
      <c r="Y46" s="290"/>
      <c r="Z46" s="290"/>
      <c r="AA46" s="290"/>
      <c r="AB46" s="290"/>
      <c r="AC46" s="290"/>
      <c r="AD46" s="290"/>
      <c r="AE46" s="290"/>
      <c r="AF46" s="290"/>
      <c r="AG46" s="290"/>
      <c r="AH46" s="290"/>
      <c r="AI46" s="290"/>
      <c r="AJ46" s="290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</row>
    <row r="47" spans="1:84" x14ac:dyDescent="0.25"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90"/>
      <c r="AJ47" s="290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</row>
    <row r="48" spans="1:84" x14ac:dyDescent="0.25">
      <c r="U48" s="290"/>
      <c r="V48" s="290"/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0"/>
      <c r="AJ48" s="290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</row>
    <row r="49" spans="21:84" x14ac:dyDescent="0.25"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</row>
    <row r="50" spans="21:84" x14ac:dyDescent="0.25"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  <c r="AE50" s="290"/>
      <c r="AF50" s="290"/>
      <c r="AG50" s="290"/>
      <c r="AH50" s="290"/>
      <c r="AI50" s="290"/>
      <c r="AJ50" s="290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</row>
    <row r="51" spans="21:84" x14ac:dyDescent="0.25"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</row>
    <row r="52" spans="21:84" x14ac:dyDescent="0.25"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</row>
    <row r="53" spans="21:84" x14ac:dyDescent="0.25"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</row>
    <row r="54" spans="21:84" x14ac:dyDescent="0.25"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</row>
    <row r="55" spans="21:84" x14ac:dyDescent="0.25"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</row>
  </sheetData>
  <mergeCells count="16">
    <mergeCell ref="A14:E14"/>
    <mergeCell ref="A17:E17"/>
    <mergeCell ref="A6:A8"/>
    <mergeCell ref="C6:C8"/>
    <mergeCell ref="D6:D8"/>
    <mergeCell ref="E6:E8"/>
    <mergeCell ref="A13:E13"/>
    <mergeCell ref="A16:E16"/>
    <mergeCell ref="H6:K6"/>
    <mergeCell ref="F7:Q7"/>
    <mergeCell ref="B7:B8"/>
    <mergeCell ref="A11:E11"/>
    <mergeCell ref="L6:M6"/>
    <mergeCell ref="N6:P6"/>
    <mergeCell ref="A10:E10"/>
    <mergeCell ref="F6:G6"/>
  </mergeCells>
  <pageMargins left="0.7" right="0.7" top="0.78740157499999996" bottom="0.78740157499999996" header="0.3" footer="0.3"/>
  <pageSetup paperSize="9" scale="60" orientation="landscape" r:id="rId1"/>
  <rowBreaks count="1" manualBreakCount="1">
    <brk id="37" max="16" man="1"/>
  </rowBreaks>
  <colBreaks count="1" manualBreakCount="1">
    <brk id="18" max="10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72"/>
  <sheetViews>
    <sheetView showGridLines="0" zoomScaleNormal="100" zoomScaleSheetLayoutView="85" workbookViewId="0">
      <selection activeCell="D3" sqref="D3:K4"/>
    </sheetView>
  </sheetViews>
  <sheetFormatPr baseColWidth="10" defaultColWidth="11.44140625" defaultRowHeight="15" x14ac:dyDescent="0.25"/>
  <cols>
    <col min="1" max="1" width="7.5546875" style="42" customWidth="1"/>
    <col min="2" max="2" width="37.33203125" style="42" customWidth="1"/>
    <col min="3" max="3" width="1.109375" style="42" customWidth="1"/>
    <col min="4" max="4" width="12.88671875" style="42" customWidth="1"/>
    <col min="5" max="5" width="9.88671875" style="42" customWidth="1"/>
    <col min="6" max="6" width="9" style="42" customWidth="1"/>
    <col min="7" max="7" width="10.6640625" style="42" customWidth="1"/>
    <col min="8" max="8" width="1.88671875" style="42" customWidth="1"/>
    <col min="9" max="9" width="6.33203125" style="42" customWidth="1"/>
    <col min="10" max="10" width="9.88671875" style="42" customWidth="1"/>
    <col min="11" max="11" width="11.33203125" style="42" customWidth="1"/>
    <col min="12" max="12" width="12.33203125" style="42" bestFit="1" customWidth="1"/>
    <col min="13" max="15" width="11.44140625" style="42"/>
    <col min="16" max="16" width="13.88671875" style="42" customWidth="1"/>
    <col min="17" max="17" width="14.6640625" style="42" customWidth="1"/>
    <col min="18" max="16384" width="11.44140625" style="42"/>
  </cols>
  <sheetData>
    <row r="1" spans="1:20" ht="17.399999999999999" x14ac:dyDescent="0.3">
      <c r="A1" s="70" t="s">
        <v>149</v>
      </c>
      <c r="B1" s="41"/>
      <c r="C1" s="41"/>
      <c r="D1" s="41"/>
      <c r="E1" s="41"/>
      <c r="F1" s="41"/>
    </row>
    <row r="2" spans="1:20" ht="9" customHeight="1" x14ac:dyDescent="0.25">
      <c r="A2" s="41"/>
      <c r="B2" s="41"/>
      <c r="C2" s="41"/>
      <c r="D2" s="41"/>
      <c r="E2" s="41"/>
      <c r="F2" s="41"/>
    </row>
    <row r="3" spans="1:20" s="33" customFormat="1" ht="15.6" x14ac:dyDescent="0.3">
      <c r="A3" s="32" t="s">
        <v>61</v>
      </c>
      <c r="B3" s="32"/>
      <c r="C3" s="32"/>
      <c r="D3" s="446" t="str">
        <f>Honorarberechnung!D3</f>
        <v>ABA BA 14, 6000 m Schmutz- und Regenwasserkanäle</v>
      </c>
      <c r="E3" s="446"/>
      <c r="F3" s="446"/>
      <c r="G3" s="446"/>
      <c r="H3" s="446"/>
      <c r="I3" s="446"/>
      <c r="J3" s="446"/>
      <c r="K3" s="446"/>
    </row>
    <row r="4" spans="1:20" s="33" customFormat="1" ht="15.6" x14ac:dyDescent="0.3">
      <c r="A4" s="32" t="s">
        <v>62</v>
      </c>
      <c r="B4" s="32"/>
      <c r="C4" s="32"/>
      <c r="D4" s="446" t="str">
        <f>Honorarberechnung!D4</f>
        <v>AG 02</v>
      </c>
      <c r="E4" s="446"/>
      <c r="F4" s="446"/>
      <c r="G4" s="446"/>
      <c r="H4" s="446"/>
      <c r="I4" s="446"/>
      <c r="J4" s="446"/>
      <c r="K4" s="446"/>
    </row>
    <row r="5" spans="1:20" s="33" customFormat="1" ht="15.75" hidden="1" customHeight="1" x14ac:dyDescent="0.3">
      <c r="A5" s="32"/>
      <c r="B5" s="32"/>
      <c r="C5" s="32"/>
      <c r="D5" s="32"/>
      <c r="E5" s="32"/>
      <c r="F5" s="32"/>
    </row>
    <row r="6" spans="1:20" ht="15" hidden="1" customHeight="1" x14ac:dyDescent="0.25">
      <c r="A6" s="41"/>
      <c r="B6" s="41" t="s">
        <v>63</v>
      </c>
      <c r="C6" s="41"/>
      <c r="D6" s="41"/>
      <c r="E6" s="41"/>
      <c r="F6" s="41"/>
    </row>
    <row r="7" spans="1:20" s="1" customFormat="1" ht="18" hidden="1" customHeight="1" x14ac:dyDescent="0.25">
      <c r="A7" s="49"/>
      <c r="B7" s="57" t="s">
        <v>64</v>
      </c>
      <c r="C7" s="64"/>
      <c r="D7" s="447">
        <v>83.142487849446525</v>
      </c>
      <c r="E7" s="447"/>
      <c r="F7" s="64" t="s">
        <v>72</v>
      </c>
    </row>
    <row r="8" spans="1:20" s="1" customFormat="1" ht="18" hidden="1" customHeight="1" x14ac:dyDescent="0.25">
      <c r="A8" s="49"/>
      <c r="B8" s="57" t="s">
        <v>99</v>
      </c>
      <c r="C8" s="64"/>
      <c r="D8" s="447">
        <v>1.1893150000000001</v>
      </c>
      <c r="E8" s="447"/>
      <c r="F8" s="64" t="s">
        <v>73</v>
      </c>
    </row>
    <row r="9" spans="1:20" s="1" customFormat="1" ht="18" hidden="1" customHeight="1" x14ac:dyDescent="0.25">
      <c r="A9" s="49"/>
      <c r="B9" s="57" t="s">
        <v>115</v>
      </c>
      <c r="C9" s="64"/>
      <c r="D9" s="388">
        <v>8</v>
      </c>
      <c r="E9" s="388"/>
      <c r="F9" s="64" t="s">
        <v>116</v>
      </c>
    </row>
    <row r="10" spans="1:20" s="1" customFormat="1" ht="18" hidden="1" customHeight="1" x14ac:dyDescent="0.25">
      <c r="A10" s="49"/>
      <c r="B10" s="57" t="s">
        <v>85</v>
      </c>
      <c r="C10" s="64"/>
      <c r="D10" s="448">
        <v>8500</v>
      </c>
      <c r="E10" s="448"/>
      <c r="F10" s="64" t="s">
        <v>86</v>
      </c>
      <c r="I10" s="138" t="s">
        <v>100</v>
      </c>
      <c r="J10" s="137">
        <v>1322.5</v>
      </c>
      <c r="K10" s="64" t="s">
        <v>87</v>
      </c>
    </row>
    <row r="11" spans="1:20" s="1" customFormat="1" ht="18" hidden="1" customHeight="1" x14ac:dyDescent="0.25">
      <c r="A11" s="49"/>
      <c r="B11" s="57" t="s">
        <v>150</v>
      </c>
      <c r="C11" s="64"/>
      <c r="D11" s="439">
        <v>16</v>
      </c>
      <c r="E11" s="439"/>
      <c r="F11" s="64" t="s">
        <v>151</v>
      </c>
    </row>
    <row r="12" spans="1:20" s="1" customFormat="1" ht="14.4" thickBot="1" x14ac:dyDescent="0.3">
      <c r="A12" s="49"/>
      <c r="B12" s="49"/>
      <c r="C12" s="49"/>
      <c r="D12" s="139"/>
      <c r="E12" s="139"/>
      <c r="F12" s="49"/>
    </row>
    <row r="13" spans="1:20" s="58" customFormat="1" ht="33" customHeight="1" x14ac:dyDescent="0.25">
      <c r="A13" s="426" t="s">
        <v>65</v>
      </c>
      <c r="B13" s="422" t="s">
        <v>66</v>
      </c>
      <c r="C13" s="49"/>
      <c r="D13" s="443" t="s">
        <v>180</v>
      </c>
      <c r="E13" s="444"/>
      <c r="F13" s="444"/>
      <c r="G13" s="445"/>
      <c r="H13" s="201"/>
      <c r="I13" s="430" t="s">
        <v>174</v>
      </c>
      <c r="J13" s="431"/>
      <c r="K13" s="432"/>
    </row>
    <row r="14" spans="1:20" s="58" customFormat="1" ht="76.5" customHeight="1" x14ac:dyDescent="0.25">
      <c r="A14" s="427"/>
      <c r="B14" s="423"/>
      <c r="C14" s="49"/>
      <c r="D14" s="140" t="s">
        <v>193</v>
      </c>
      <c r="E14" s="141" t="s">
        <v>192</v>
      </c>
      <c r="F14" s="142" t="s">
        <v>117</v>
      </c>
      <c r="G14" s="207" t="s">
        <v>173</v>
      </c>
      <c r="H14" s="202"/>
      <c r="I14" s="433"/>
      <c r="J14" s="434"/>
      <c r="K14" s="435"/>
    </row>
    <row r="15" spans="1:20" s="58" customFormat="1" ht="14.25" customHeight="1" x14ac:dyDescent="0.25">
      <c r="A15" s="428"/>
      <c r="B15" s="424"/>
      <c r="C15" s="49"/>
      <c r="D15" s="105" t="s">
        <v>107</v>
      </c>
      <c r="E15" s="143" t="s">
        <v>108</v>
      </c>
      <c r="F15" s="106" t="s">
        <v>109</v>
      </c>
      <c r="G15" s="208" t="s">
        <v>110</v>
      </c>
      <c r="H15" s="202"/>
      <c r="I15" s="436"/>
      <c r="J15" s="437"/>
      <c r="K15" s="438"/>
    </row>
    <row r="16" spans="1:20" s="58" customFormat="1" ht="15" customHeight="1" thickBot="1" x14ac:dyDescent="0.3">
      <c r="A16" s="429"/>
      <c r="B16" s="425"/>
      <c r="C16" s="49"/>
      <c r="D16" s="144" t="s">
        <v>152</v>
      </c>
      <c r="E16" s="145" t="s">
        <v>101</v>
      </c>
      <c r="F16" s="145" t="s">
        <v>153</v>
      </c>
      <c r="G16" s="209" t="s">
        <v>154</v>
      </c>
      <c r="H16" s="203"/>
      <c r="I16" s="440" t="s">
        <v>124</v>
      </c>
      <c r="J16" s="441"/>
      <c r="K16" s="442"/>
      <c r="M16" s="303"/>
      <c r="N16" s="303"/>
      <c r="O16" s="303"/>
      <c r="P16" s="303"/>
      <c r="Q16" s="303"/>
      <c r="R16" s="303"/>
      <c r="S16" s="303"/>
      <c r="T16" s="303"/>
    </row>
    <row r="17" spans="1:20" s="1" customFormat="1" ht="15" customHeight="1" thickBot="1" x14ac:dyDescent="0.3">
      <c r="A17" s="59"/>
      <c r="B17" s="59"/>
      <c r="C17" s="49"/>
      <c r="D17" s="49"/>
      <c r="E17" s="49"/>
      <c r="F17" s="49"/>
      <c r="H17" s="204"/>
      <c r="M17" s="304"/>
      <c r="N17" s="304"/>
      <c r="O17" s="304"/>
      <c r="P17" s="304"/>
      <c r="Q17" s="304"/>
      <c r="R17" s="304"/>
      <c r="S17" s="304"/>
      <c r="T17" s="304"/>
    </row>
    <row r="18" spans="1:20" ht="16.5" customHeight="1" thickBot="1" x14ac:dyDescent="0.35">
      <c r="A18" s="62" t="s">
        <v>95</v>
      </c>
      <c r="B18" s="63"/>
      <c r="C18" s="41"/>
      <c r="D18" s="146" t="s">
        <v>155</v>
      </c>
      <c r="E18" s="147"/>
      <c r="F18" s="285">
        <f>Leistungsumfang!F9</f>
        <v>2</v>
      </c>
      <c r="G18" s="155"/>
      <c r="H18" s="205"/>
      <c r="I18" s="212"/>
      <c r="J18" s="283">
        <f>SUM(Personaleinsatzplan!F19:F19)</f>
        <v>41.977499999999992</v>
      </c>
      <c r="K18" s="213" t="s">
        <v>169</v>
      </c>
      <c r="M18" s="305"/>
      <c r="N18" s="305"/>
      <c r="O18" s="305"/>
      <c r="P18" s="305"/>
      <c r="Q18" s="305"/>
      <c r="R18" s="305"/>
      <c r="S18" s="305"/>
      <c r="T18" s="305"/>
    </row>
    <row r="19" spans="1:20" s="1" customFormat="1" ht="8.25" customHeight="1" x14ac:dyDescent="0.25">
      <c r="A19" s="49"/>
      <c r="B19" s="59"/>
      <c r="C19" s="49"/>
      <c r="D19" s="196"/>
      <c r="E19" s="49"/>
      <c r="F19" s="49"/>
      <c r="H19" s="204"/>
      <c r="M19" s="304"/>
      <c r="N19" s="304"/>
      <c r="O19" s="304"/>
      <c r="P19" s="304"/>
      <c r="Q19" s="304"/>
      <c r="R19" s="304"/>
      <c r="S19" s="304"/>
      <c r="T19" s="304"/>
    </row>
    <row r="20" spans="1:20" s="1" customFormat="1" ht="15" customHeight="1" x14ac:dyDescent="0.25">
      <c r="A20" s="329" t="s">
        <v>232</v>
      </c>
      <c r="B20" s="329" t="s">
        <v>231</v>
      </c>
      <c r="C20" s="49"/>
      <c r="D20" s="197">
        <f>IFERROR(G20/F18,0)</f>
        <v>20</v>
      </c>
      <c r="E20" s="148">
        <f>G20/$G$22</f>
        <v>1</v>
      </c>
      <c r="F20" s="334">
        <v>2</v>
      </c>
      <c r="G20" s="284">
        <f>Honorarberechnung!H19</f>
        <v>40</v>
      </c>
      <c r="H20" s="200"/>
      <c r="I20" s="421" t="str">
        <f>IF(OR(G22-J18&gt;1,G22-J18&lt;-1),"Abweichung zwischen h aus PEP und h aus der Honorar-ermittlung beträgt:","")</f>
        <v>Abweichung zwischen h aus PEP und h aus der Honorar-ermittlung beträgt:</v>
      </c>
      <c r="J20" s="421"/>
      <c r="K20" s="421"/>
      <c r="M20" s="304"/>
      <c r="N20" s="304"/>
      <c r="O20" s="304"/>
      <c r="P20" s="304"/>
      <c r="Q20" s="304"/>
      <c r="R20" s="304"/>
      <c r="S20" s="304"/>
      <c r="T20" s="304"/>
    </row>
    <row r="21" spans="1:20" s="1" customFormat="1" ht="14.25" hidden="1" customHeight="1" x14ac:dyDescent="0.25">
      <c r="A21" s="318"/>
      <c r="B21" s="319" t="s">
        <v>74</v>
      </c>
      <c r="C21" s="320"/>
      <c r="D21" s="321">
        <v>0</v>
      </c>
      <c r="E21" s="322">
        <f>G21/$G$22</f>
        <v>0</v>
      </c>
      <c r="F21" s="323">
        <v>0</v>
      </c>
      <c r="G21" s="324">
        <f>Honorarberechnung!H23</f>
        <v>0</v>
      </c>
      <c r="H21" s="200"/>
      <c r="I21" s="421"/>
      <c r="J21" s="421"/>
      <c r="K21" s="421"/>
      <c r="M21" s="304"/>
      <c r="N21" s="304"/>
      <c r="O21" s="304"/>
      <c r="P21" s="304"/>
      <c r="Q21" s="304"/>
      <c r="R21" s="304"/>
      <c r="S21" s="304"/>
      <c r="T21" s="304"/>
    </row>
    <row r="22" spans="1:20" s="1" customFormat="1" ht="18" customHeight="1" x14ac:dyDescent="0.25">
      <c r="A22" s="150"/>
      <c r="B22" s="151" t="s">
        <v>156</v>
      </c>
      <c r="C22" s="64"/>
      <c r="E22" s="278">
        <f>SUM(E20:E21)</f>
        <v>1</v>
      </c>
      <c r="F22" s="152"/>
      <c r="G22" s="198">
        <f>SUM(G20:G21)</f>
        <v>40</v>
      </c>
      <c r="H22" s="198"/>
      <c r="I22" s="421"/>
      <c r="J22" s="421"/>
      <c r="K22" s="421"/>
      <c r="M22" s="304"/>
      <c r="N22" s="304"/>
      <c r="O22" s="304"/>
      <c r="P22" s="304"/>
      <c r="Q22" s="304"/>
      <c r="R22" s="304"/>
      <c r="S22" s="304"/>
      <c r="T22" s="304"/>
    </row>
    <row r="23" spans="1:20" s="1" customFormat="1" ht="18" customHeight="1" x14ac:dyDescent="0.25">
      <c r="A23" s="150"/>
      <c r="B23" s="151"/>
      <c r="C23" s="64"/>
      <c r="E23" s="153"/>
      <c r="F23" s="152"/>
      <c r="G23" s="198"/>
      <c r="H23" s="198"/>
      <c r="I23" s="210"/>
      <c r="J23" s="210"/>
      <c r="K23" s="277">
        <f>ABS(J18/G22-1)</f>
        <v>4.9437499999999801E-2</v>
      </c>
      <c r="M23" s="304"/>
      <c r="N23" s="304"/>
      <c r="O23" s="304"/>
      <c r="P23" s="304"/>
      <c r="Q23" s="304"/>
      <c r="R23" s="304"/>
      <c r="S23" s="304"/>
      <c r="T23" s="304"/>
    </row>
    <row r="24" spans="1:20" s="1" customFormat="1" ht="10.5" customHeight="1" x14ac:dyDescent="0.25">
      <c r="A24" s="150"/>
      <c r="B24" s="151"/>
      <c r="C24" s="64"/>
      <c r="E24" s="153"/>
      <c r="F24" s="152"/>
      <c r="G24" s="198"/>
      <c r="H24" s="198"/>
      <c r="I24" s="199"/>
      <c r="J24" s="199"/>
      <c r="K24" s="199"/>
      <c r="M24" s="304"/>
      <c r="N24" s="304"/>
      <c r="O24" s="304"/>
      <c r="P24" s="304"/>
      <c r="Q24" s="304"/>
      <c r="R24" s="304"/>
      <c r="S24" s="304"/>
      <c r="T24" s="304"/>
    </row>
    <row r="25" spans="1:20" s="1" customFormat="1" ht="18" customHeight="1" x14ac:dyDescent="0.25">
      <c r="A25" s="150"/>
      <c r="B25" s="151" t="s">
        <v>175</v>
      </c>
      <c r="C25" s="64"/>
      <c r="E25" s="153"/>
      <c r="F25" s="152"/>
      <c r="G25" s="281">
        <f>G22*Honorarberechnung!D7</f>
        <v>3986.96798304</v>
      </c>
      <c r="H25" s="198"/>
      <c r="I25" s="199"/>
      <c r="J25" s="199"/>
      <c r="K25" s="279">
        <f>SUM(Personaleinsatzplan!F11:F11,Personaleinsatzplan!F14:F14,Personaleinsatzplan!F17:F17)</f>
        <v>3950.7413383557005</v>
      </c>
      <c r="M25" s="304"/>
      <c r="N25" s="304"/>
      <c r="O25" s="304"/>
      <c r="P25" s="304"/>
      <c r="Q25" s="304"/>
      <c r="R25" s="304"/>
      <c r="S25" s="304"/>
      <c r="T25" s="304"/>
    </row>
    <row r="26" spans="1:20" ht="15.6" thickBot="1" x14ac:dyDescent="0.3">
      <c r="A26" s="49"/>
      <c r="B26" s="49"/>
      <c r="C26" s="49"/>
      <c r="D26" s="196"/>
      <c r="E26" s="49"/>
      <c r="F26" s="49"/>
      <c r="G26" s="1"/>
      <c r="H26" s="204"/>
      <c r="I26" s="1"/>
      <c r="J26" s="1"/>
      <c r="K26" s="1"/>
      <c r="M26" s="305"/>
      <c r="N26" s="305"/>
      <c r="O26" s="305"/>
      <c r="P26" s="305"/>
      <c r="Q26" s="305"/>
      <c r="R26" s="305"/>
      <c r="S26" s="305"/>
      <c r="T26" s="305"/>
    </row>
    <row r="27" spans="1:20" ht="16.5" customHeight="1" thickBot="1" x14ac:dyDescent="0.35">
      <c r="A27" s="62" t="s">
        <v>96</v>
      </c>
      <c r="B27" s="63"/>
      <c r="C27" s="41"/>
      <c r="D27" s="146" t="s">
        <v>155</v>
      </c>
      <c r="E27" s="147"/>
      <c r="F27" s="285">
        <f>Leistungsumfang!F13</f>
        <v>4</v>
      </c>
      <c r="G27" s="155"/>
      <c r="H27" s="205"/>
      <c r="I27" s="212"/>
      <c r="J27" s="283">
        <f>SUM(Personaleinsatzplan!H19:K19)</f>
        <v>559.69999999999993</v>
      </c>
      <c r="K27" s="213" t="s">
        <v>169</v>
      </c>
      <c r="M27" s="305"/>
      <c r="N27" s="305"/>
      <c r="O27" s="305"/>
      <c r="P27" s="305"/>
      <c r="Q27" s="305"/>
      <c r="R27" s="305"/>
      <c r="S27" s="305"/>
      <c r="T27" s="305"/>
    </row>
    <row r="28" spans="1:20" s="1" customFormat="1" ht="8.25" customHeight="1" x14ac:dyDescent="0.25">
      <c r="A28" s="49"/>
      <c r="B28" s="59"/>
      <c r="C28" s="49"/>
      <c r="D28" s="196"/>
      <c r="E28" s="49"/>
      <c r="F28" s="49"/>
      <c r="H28" s="204"/>
      <c r="M28" s="304"/>
      <c r="N28" s="304"/>
      <c r="O28" s="304"/>
      <c r="P28" s="304"/>
      <c r="Q28" s="304"/>
      <c r="R28" s="304"/>
      <c r="S28" s="304"/>
      <c r="T28" s="304"/>
    </row>
    <row r="29" spans="1:20" s="1" customFormat="1" ht="13.8" x14ac:dyDescent="0.25">
      <c r="A29" s="53" t="s">
        <v>237</v>
      </c>
      <c r="B29" s="50" t="s">
        <v>238</v>
      </c>
      <c r="C29" s="49"/>
      <c r="D29" s="197">
        <f>IFERROR(G29/F27,0)</f>
        <v>41.841074999999996</v>
      </c>
      <c r="E29" s="148">
        <f>G29/$G$33</f>
        <v>0.3</v>
      </c>
      <c r="F29" s="334">
        <v>2</v>
      </c>
      <c r="G29" s="284">
        <f>Honorarberechnung!H33</f>
        <v>167.36429999999999</v>
      </c>
      <c r="H29" s="200"/>
      <c r="I29" s="421" t="str">
        <f>IF(OR(G33-J27&gt;1,G33-J27&lt;-1),"Abweichung zwischen h aus PEP und h aus der Honorar-ermittlung beträgt:","")</f>
        <v>Abweichung zwischen h aus PEP und h aus der Honorar-ermittlung beträgt:</v>
      </c>
      <c r="J29" s="421"/>
      <c r="K29" s="421"/>
      <c r="M29" s="304"/>
      <c r="N29" s="304"/>
      <c r="O29" s="304"/>
      <c r="P29" s="304"/>
      <c r="Q29" s="304"/>
      <c r="R29" s="304"/>
      <c r="S29" s="304"/>
      <c r="T29" s="304"/>
    </row>
    <row r="30" spans="1:20" s="1" customFormat="1" ht="13.8" x14ac:dyDescent="0.25">
      <c r="A30" s="53" t="s">
        <v>240</v>
      </c>
      <c r="B30" s="50" t="s">
        <v>239</v>
      </c>
      <c r="C30" s="49"/>
      <c r="D30" s="197">
        <f>IFERROR(G30/F27,0)</f>
        <v>83.682149999999993</v>
      </c>
      <c r="E30" s="148">
        <f>G30/$G$33</f>
        <v>0.6</v>
      </c>
      <c r="F30" s="334">
        <v>2</v>
      </c>
      <c r="G30" s="284">
        <f>Honorarberechnung!H34</f>
        <v>334.72859999999997</v>
      </c>
      <c r="H30" s="200"/>
      <c r="I30" s="421"/>
      <c r="J30" s="421"/>
      <c r="K30" s="421"/>
      <c r="M30" s="304"/>
      <c r="N30" s="304"/>
      <c r="O30" s="304"/>
      <c r="P30" s="304"/>
      <c r="Q30" s="304"/>
      <c r="R30" s="304"/>
      <c r="S30" s="304"/>
      <c r="T30" s="304"/>
    </row>
    <row r="31" spans="1:20" s="1" customFormat="1" ht="13.8" x14ac:dyDescent="0.25">
      <c r="A31" s="53" t="s">
        <v>242</v>
      </c>
      <c r="B31" s="50" t="s">
        <v>241</v>
      </c>
      <c r="C31" s="49"/>
      <c r="D31" s="197">
        <f>IFERROR(G31/F27,0)</f>
        <v>13.947025</v>
      </c>
      <c r="E31" s="148">
        <f>G31/$G$33</f>
        <v>0.1</v>
      </c>
      <c r="F31" s="334">
        <v>4</v>
      </c>
      <c r="G31" s="284">
        <f>Honorarberechnung!H35</f>
        <v>55.7881</v>
      </c>
      <c r="H31" s="200"/>
      <c r="I31" s="421"/>
      <c r="J31" s="421"/>
      <c r="K31" s="421"/>
      <c r="M31" s="304"/>
      <c r="N31" s="304"/>
      <c r="O31" s="304"/>
      <c r="P31" s="304"/>
      <c r="Q31" s="304"/>
      <c r="R31" s="304"/>
      <c r="S31" s="304"/>
      <c r="T31" s="304"/>
    </row>
    <row r="32" spans="1:20" s="1" customFormat="1" ht="14.25" hidden="1" customHeight="1" x14ac:dyDescent="0.25">
      <c r="A32" s="56"/>
      <c r="B32" s="54" t="s">
        <v>74</v>
      </c>
      <c r="C32" s="49"/>
      <c r="D32" s="197">
        <f>IFERROR(G32/F27,0)</f>
        <v>0</v>
      </c>
      <c r="E32" s="148">
        <f>G32/$G$33</f>
        <v>0</v>
      </c>
      <c r="F32" s="286">
        <v>0</v>
      </c>
      <c r="G32" s="284">
        <f>Honorarberechnung!H24</f>
        <v>0</v>
      </c>
      <c r="H32" s="200"/>
      <c r="I32" s="210"/>
      <c r="J32" s="210"/>
      <c r="M32" s="304"/>
      <c r="N32" s="304"/>
      <c r="O32" s="304"/>
      <c r="P32" s="304"/>
      <c r="Q32" s="304"/>
      <c r="R32" s="304"/>
      <c r="S32" s="304"/>
      <c r="T32" s="304"/>
    </row>
    <row r="33" spans="1:20" s="1" customFormat="1" ht="15" customHeight="1" x14ac:dyDescent="0.25">
      <c r="A33" s="150"/>
      <c r="B33" s="151" t="s">
        <v>156</v>
      </c>
      <c r="C33" s="64"/>
      <c r="E33" s="278">
        <f>SUM(E29:E32)</f>
        <v>0.99999999999999989</v>
      </c>
      <c r="F33" s="152"/>
      <c r="G33" s="198">
        <f>SUM(G29:G32)</f>
        <v>557.88099999999997</v>
      </c>
      <c r="H33" s="198"/>
      <c r="K33" s="277">
        <f>ABS(J27/G33-1)</f>
        <v>3.260551981515647E-3</v>
      </c>
      <c r="M33" s="304"/>
      <c r="N33" s="304"/>
      <c r="O33" s="304"/>
      <c r="P33" s="304"/>
      <c r="Q33" s="304"/>
      <c r="R33" s="304"/>
      <c r="S33" s="304"/>
      <c r="T33" s="304"/>
    </row>
    <row r="34" spans="1:20" s="1" customFormat="1" ht="10.5" customHeight="1" x14ac:dyDescent="0.25">
      <c r="A34" s="150"/>
      <c r="B34" s="151"/>
      <c r="C34" s="64"/>
      <c r="E34" s="153"/>
      <c r="F34" s="152"/>
      <c r="G34" s="198"/>
      <c r="H34" s="198"/>
      <c r="I34" s="199"/>
      <c r="J34" s="199"/>
      <c r="K34" s="199"/>
      <c r="M34" s="304"/>
      <c r="N34" s="304"/>
      <c r="O34" s="304"/>
      <c r="P34" s="304"/>
      <c r="Q34" s="304"/>
      <c r="R34" s="304"/>
      <c r="S34" s="304"/>
      <c r="T34" s="304"/>
    </row>
    <row r="35" spans="1:20" s="1" customFormat="1" ht="18" customHeight="1" x14ac:dyDescent="0.25">
      <c r="A35" s="150"/>
      <c r="B35" s="151" t="s">
        <v>176</v>
      </c>
      <c r="C35" s="64"/>
      <c r="E35" s="153"/>
      <c r="F35" s="152"/>
      <c r="G35" s="281">
        <f>G33*Honorarberechnung!D7</f>
        <v>55606.342133658458</v>
      </c>
      <c r="H35" s="198"/>
      <c r="I35" s="199"/>
      <c r="J35" s="199"/>
      <c r="K35" s="279">
        <f>SUM(Personaleinsatzplan!H11:K11,Personaleinsatzplan!H14:K14,Personaleinsatzplan!H17:K17)</f>
        <v>54886.138056350988</v>
      </c>
      <c r="M35" s="304"/>
      <c r="N35" s="304"/>
      <c r="O35" s="304"/>
      <c r="P35" s="304"/>
      <c r="Q35" s="304"/>
      <c r="R35" s="304"/>
      <c r="S35" s="304"/>
      <c r="T35" s="304"/>
    </row>
    <row r="36" spans="1:20" ht="15.6" thickBot="1" x14ac:dyDescent="0.3">
      <c r="A36" s="49"/>
      <c r="B36" s="49"/>
      <c r="C36" s="49"/>
      <c r="D36" s="196"/>
      <c r="E36" s="49"/>
      <c r="F36" s="49"/>
      <c r="G36" s="1"/>
      <c r="H36" s="204"/>
      <c r="I36" s="1"/>
      <c r="J36" s="1"/>
      <c r="K36" s="1"/>
      <c r="M36" s="305"/>
      <c r="N36" s="305"/>
      <c r="O36" s="305"/>
      <c r="P36" s="305"/>
      <c r="Q36" s="305"/>
      <c r="R36" s="305"/>
      <c r="S36" s="305"/>
      <c r="T36" s="305"/>
    </row>
    <row r="37" spans="1:20" ht="16.5" customHeight="1" thickBot="1" x14ac:dyDescent="0.35">
      <c r="A37" s="62" t="s">
        <v>82</v>
      </c>
      <c r="B37" s="63"/>
      <c r="C37" s="41"/>
      <c r="D37" s="146" t="s">
        <v>155</v>
      </c>
      <c r="E37" s="147"/>
      <c r="F37" s="285">
        <f>Leistungsumfang!F19</f>
        <v>2</v>
      </c>
      <c r="G37" s="155"/>
      <c r="H37" s="205"/>
      <c r="I37" s="212"/>
      <c r="J37" s="283">
        <f>SUM(Personaleinsatzplan!L19:M19)</f>
        <v>587.68499999999995</v>
      </c>
      <c r="K37" s="213" t="s">
        <v>169</v>
      </c>
      <c r="M37" s="305"/>
      <c r="N37" s="305"/>
      <c r="O37" s="305"/>
      <c r="P37" s="305"/>
      <c r="Q37" s="305"/>
      <c r="R37" s="305"/>
      <c r="S37" s="305"/>
      <c r="T37" s="305"/>
    </row>
    <row r="38" spans="1:20" s="1" customFormat="1" ht="8.25" customHeight="1" x14ac:dyDescent="0.25">
      <c r="A38" s="49"/>
      <c r="B38" s="59"/>
      <c r="C38" s="49"/>
      <c r="D38" s="196"/>
      <c r="E38" s="49"/>
      <c r="F38" s="49"/>
      <c r="H38" s="204"/>
      <c r="M38" s="304"/>
      <c r="N38" s="304"/>
      <c r="O38" s="304"/>
      <c r="P38" s="304"/>
      <c r="Q38" s="304"/>
      <c r="R38" s="304"/>
      <c r="S38" s="304"/>
      <c r="T38" s="304"/>
    </row>
    <row r="39" spans="1:20" s="1" customFormat="1" ht="15" customHeight="1" x14ac:dyDescent="0.25">
      <c r="A39" s="53" t="s">
        <v>244</v>
      </c>
      <c r="B39" s="50" t="s">
        <v>243</v>
      </c>
      <c r="C39" s="49"/>
      <c r="D39" s="197">
        <f>IFERROR(G39/F37,0)</f>
        <v>209.205375</v>
      </c>
      <c r="E39" s="148">
        <f>G39/$G$43</f>
        <v>0.69982279082292298</v>
      </c>
      <c r="F39" s="334">
        <v>2</v>
      </c>
      <c r="G39" s="284">
        <f>Honorarberechnung!H36</f>
        <v>418.41075000000001</v>
      </c>
      <c r="H39" s="200"/>
      <c r="I39" s="421" t="str">
        <f>IF(OR(G43-J37&gt;1,G43-J37&lt;-1),"Abweichung zwischen h aus PEP und h aus der Honorar-ermittlung beträgt:","")</f>
        <v>Abweichung zwischen h aus PEP und h aus der Honorar-ermittlung beträgt:</v>
      </c>
      <c r="J39" s="421"/>
      <c r="K39" s="421"/>
      <c r="M39" s="304"/>
      <c r="N39" s="304"/>
      <c r="O39" s="304"/>
      <c r="P39" s="304"/>
      <c r="Q39" s="304"/>
      <c r="R39" s="304"/>
      <c r="S39" s="304"/>
      <c r="T39" s="304"/>
    </row>
    <row r="40" spans="1:20" s="1" customFormat="1" ht="13.8" x14ac:dyDescent="0.25">
      <c r="A40" s="53" t="s">
        <v>246</v>
      </c>
      <c r="B40" s="50" t="s">
        <v>245</v>
      </c>
      <c r="C40" s="49"/>
      <c r="D40" s="197">
        <f>IFERROR(G40/F37,0)</f>
        <v>69.735124999999996</v>
      </c>
      <c r="E40" s="148">
        <f>G40/$G$43</f>
        <v>0.23327426360764097</v>
      </c>
      <c r="F40" s="334">
        <v>2</v>
      </c>
      <c r="G40" s="284">
        <f>Honorarberechnung!H37</f>
        <v>139.47024999999999</v>
      </c>
      <c r="H40" s="200"/>
      <c r="I40" s="421"/>
      <c r="J40" s="421"/>
      <c r="K40" s="421"/>
      <c r="M40" s="304"/>
      <c r="N40" s="304"/>
      <c r="O40" s="304"/>
      <c r="P40" s="304"/>
      <c r="Q40" s="304"/>
      <c r="R40" s="304"/>
      <c r="S40" s="304"/>
      <c r="T40" s="304"/>
    </row>
    <row r="41" spans="1:20" s="1" customFormat="1" ht="15.75" customHeight="1" x14ac:dyDescent="0.25">
      <c r="A41" s="53" t="s">
        <v>234</v>
      </c>
      <c r="B41" s="50" t="s">
        <v>233</v>
      </c>
      <c r="C41" s="49"/>
      <c r="D41" s="197">
        <f>IFERROR(G41/F37,0)</f>
        <v>20</v>
      </c>
      <c r="E41" s="148">
        <f>G41/$G$43</f>
        <v>6.6902945569436059E-2</v>
      </c>
      <c r="F41" s="334">
        <v>2</v>
      </c>
      <c r="G41" s="284">
        <f>Honorarberechnung!H20</f>
        <v>40</v>
      </c>
      <c r="H41" s="200"/>
      <c r="I41" s="421"/>
      <c r="J41" s="421"/>
      <c r="K41" s="421"/>
      <c r="M41" s="304"/>
      <c r="N41" s="304"/>
      <c r="O41" s="304"/>
      <c r="P41" s="304"/>
      <c r="Q41" s="304"/>
      <c r="R41" s="304"/>
      <c r="S41" s="304"/>
      <c r="T41" s="304"/>
    </row>
    <row r="42" spans="1:20" s="1" customFormat="1" ht="14.25" hidden="1" customHeight="1" x14ac:dyDescent="0.25">
      <c r="A42" s="56"/>
      <c r="B42" s="54" t="s">
        <v>74</v>
      </c>
      <c r="C42" s="49"/>
      <c r="D42" s="197">
        <f>IFERROR(G42/F37,0)</f>
        <v>0</v>
      </c>
      <c r="E42" s="148">
        <f>G42/$G$43</f>
        <v>0</v>
      </c>
      <c r="F42" s="331">
        <v>0</v>
      </c>
      <c r="G42" s="284">
        <f>Honorarberechnung!H25</f>
        <v>0</v>
      </c>
      <c r="H42" s="200"/>
      <c r="I42" s="210"/>
      <c r="J42" s="210"/>
      <c r="M42" s="304"/>
      <c r="N42" s="304"/>
      <c r="O42" s="304"/>
      <c r="P42" s="304"/>
      <c r="Q42" s="304"/>
      <c r="R42" s="304"/>
      <c r="S42" s="304"/>
      <c r="T42" s="304"/>
    </row>
    <row r="43" spans="1:20" s="1" customFormat="1" ht="15" customHeight="1" x14ac:dyDescent="0.25">
      <c r="A43" s="150"/>
      <c r="B43" s="151" t="s">
        <v>156</v>
      </c>
      <c r="C43" s="64"/>
      <c r="E43" s="278">
        <f>SUM(E39:E42)</f>
        <v>1</v>
      </c>
      <c r="F43" s="152"/>
      <c r="G43" s="198">
        <f>SUM(G39:G42)</f>
        <v>597.88099999999997</v>
      </c>
      <c r="H43" s="198"/>
      <c r="I43" s="210"/>
      <c r="J43" s="210"/>
      <c r="K43" s="277">
        <f>ABS(J37/G43-1)</f>
        <v>1.705356082564935E-2</v>
      </c>
      <c r="M43" s="304"/>
      <c r="N43" s="304"/>
      <c r="O43" s="304"/>
      <c r="P43" s="304"/>
      <c r="Q43" s="304"/>
      <c r="R43" s="304"/>
      <c r="S43" s="304"/>
      <c r="T43" s="304"/>
    </row>
    <row r="44" spans="1:20" s="1" customFormat="1" ht="10.5" customHeight="1" x14ac:dyDescent="0.25">
      <c r="A44" s="150"/>
      <c r="B44" s="151"/>
      <c r="C44" s="64"/>
      <c r="E44" s="153"/>
      <c r="F44" s="152"/>
      <c r="G44" s="198"/>
      <c r="H44" s="198"/>
      <c r="I44" s="199"/>
      <c r="J44" s="199"/>
      <c r="K44" s="199"/>
      <c r="M44" s="304"/>
      <c r="N44" s="304"/>
      <c r="O44" s="304"/>
      <c r="P44" s="304"/>
      <c r="Q44" s="304"/>
      <c r="R44" s="304"/>
      <c r="S44" s="304"/>
      <c r="T44" s="304"/>
    </row>
    <row r="45" spans="1:20" s="1" customFormat="1" ht="18" customHeight="1" x14ac:dyDescent="0.25">
      <c r="A45" s="150"/>
      <c r="B45" s="151" t="s">
        <v>177</v>
      </c>
      <c r="C45" s="64"/>
      <c r="E45" s="153"/>
      <c r="F45" s="152"/>
      <c r="G45" s="281">
        <f>G43*Honorarberechnung!D7</f>
        <v>59593.310116698456</v>
      </c>
      <c r="H45" s="198"/>
      <c r="I45" s="199"/>
      <c r="J45" s="199"/>
      <c r="K45" s="279">
        <f>SUM(Personaleinsatzplan!L11:M11,Personaleinsatzplan!L14:M14,Personaleinsatzplan!L17:M17)</f>
        <v>57696.73256551681</v>
      </c>
      <c r="M45" s="304"/>
      <c r="N45" s="304"/>
      <c r="O45" s="304"/>
      <c r="P45" s="304"/>
      <c r="Q45" s="304"/>
      <c r="R45" s="304"/>
      <c r="S45" s="304"/>
      <c r="T45" s="304"/>
    </row>
    <row r="46" spans="1:20" ht="15.6" thickBot="1" x14ac:dyDescent="0.3">
      <c r="A46" s="49"/>
      <c r="B46" s="49"/>
      <c r="C46" s="49"/>
      <c r="D46" s="196"/>
      <c r="E46" s="49"/>
      <c r="F46" s="49"/>
      <c r="G46" s="1"/>
      <c r="H46" s="204"/>
      <c r="I46" s="1"/>
      <c r="J46" s="1"/>
      <c r="K46" s="1"/>
      <c r="M46" s="305"/>
      <c r="N46" s="305"/>
      <c r="O46" s="305"/>
      <c r="P46" s="305"/>
      <c r="Q46" s="305"/>
      <c r="R46" s="305"/>
      <c r="S46" s="305"/>
      <c r="T46" s="305"/>
    </row>
    <row r="47" spans="1:20" s="1" customFormat="1" ht="16.2" thickBot="1" x14ac:dyDescent="0.35">
      <c r="A47" s="62" t="s">
        <v>83</v>
      </c>
      <c r="B47" s="154"/>
      <c r="C47" s="41"/>
      <c r="D47" s="146" t="s">
        <v>155</v>
      </c>
      <c r="E47" s="147"/>
      <c r="F47" s="285">
        <f>Leistungsumfang!F25</f>
        <v>3</v>
      </c>
      <c r="G47" s="155"/>
      <c r="H47" s="205"/>
      <c r="I47" s="212"/>
      <c r="J47" s="283">
        <f>SUM(Personaleinsatzplan!N19:P19)</f>
        <v>83.954999999999998</v>
      </c>
      <c r="K47" s="213" t="s">
        <v>169</v>
      </c>
      <c r="M47" s="304"/>
      <c r="N47" s="304"/>
      <c r="O47" s="304"/>
      <c r="P47" s="304"/>
      <c r="Q47" s="304"/>
      <c r="R47" s="304"/>
      <c r="S47" s="304"/>
      <c r="T47" s="304"/>
    </row>
    <row r="48" spans="1:20" s="1" customFormat="1" ht="14.25" customHeight="1" x14ac:dyDescent="0.25">
      <c r="A48" s="49"/>
      <c r="B48" s="49"/>
      <c r="C48" s="49"/>
      <c r="D48" s="196"/>
      <c r="E48" s="49"/>
      <c r="F48" s="49"/>
      <c r="H48" s="204"/>
      <c r="M48" s="304"/>
      <c r="N48" s="304"/>
      <c r="O48" s="304"/>
      <c r="P48" s="304"/>
      <c r="Q48" s="304"/>
      <c r="R48" s="304"/>
      <c r="S48" s="304"/>
      <c r="T48" s="304"/>
    </row>
    <row r="49" spans="1:20" s="1" customFormat="1" ht="13.8" x14ac:dyDescent="0.25">
      <c r="A49" s="55" t="s">
        <v>248</v>
      </c>
      <c r="B49" s="149" t="s">
        <v>247</v>
      </c>
      <c r="C49" s="49"/>
      <c r="D49" s="197">
        <f>IFERROR(G49/F47,0)</f>
        <v>27.894049999999996</v>
      </c>
      <c r="E49" s="148">
        <f>G49/$G$51</f>
        <v>1</v>
      </c>
      <c r="F49" s="334">
        <v>3</v>
      </c>
      <c r="G49" s="284">
        <f>Honorarberechnung!H43</f>
        <v>83.682149999999993</v>
      </c>
      <c r="H49" s="200"/>
      <c r="I49" s="421" t="str">
        <f>IF(OR(G51-J47&gt;1,G51-J47&lt;-1),"Abweichung zwischen h aus PEP und h aus der Honorar-ermittlung beträgt:","")</f>
        <v/>
      </c>
      <c r="J49" s="421"/>
      <c r="K49" s="421"/>
      <c r="M49" s="306"/>
      <c r="N49" s="304"/>
      <c r="O49" s="304"/>
      <c r="P49" s="304"/>
      <c r="Q49" s="304"/>
      <c r="R49" s="304"/>
      <c r="S49" s="304"/>
      <c r="T49" s="304"/>
    </row>
    <row r="50" spans="1:20" s="1" customFormat="1" ht="13.8" hidden="1" x14ac:dyDescent="0.25">
      <c r="A50" s="56"/>
      <c r="B50" s="54" t="s">
        <v>74</v>
      </c>
      <c r="C50" s="49"/>
      <c r="D50" s="197">
        <v>0</v>
      </c>
      <c r="E50" s="148">
        <f>G50/$G$51</f>
        <v>0</v>
      </c>
      <c r="F50" s="286"/>
      <c r="G50" s="284">
        <f>Honorarberechnung!H26</f>
        <v>0</v>
      </c>
      <c r="H50" s="200"/>
      <c r="I50" s="210"/>
      <c r="J50" s="210"/>
      <c r="M50" s="304"/>
      <c r="N50" s="304"/>
      <c r="O50" s="304"/>
      <c r="P50" s="304"/>
      <c r="Q50" s="304"/>
      <c r="R50" s="304"/>
      <c r="S50" s="304"/>
      <c r="T50" s="304"/>
    </row>
    <row r="51" spans="1:20" s="1" customFormat="1" ht="14.4" x14ac:dyDescent="0.25">
      <c r="A51" s="150"/>
      <c r="B51" s="151" t="s">
        <v>156</v>
      </c>
      <c r="C51" s="64"/>
      <c r="E51" s="278">
        <f>SUM(E49:E50)</f>
        <v>1</v>
      </c>
      <c r="F51" s="152"/>
      <c r="G51" s="198">
        <f>SUM(G48:G50)</f>
        <v>83.682149999999993</v>
      </c>
      <c r="H51" s="198"/>
      <c r="K51" s="277">
        <f>ABS(J47/G51-1)</f>
        <v>3.260551981515869E-3</v>
      </c>
      <c r="M51" s="304"/>
      <c r="N51" s="304"/>
      <c r="O51" s="304"/>
      <c r="P51" s="304"/>
      <c r="Q51" s="304"/>
      <c r="R51" s="304"/>
      <c r="S51" s="304"/>
      <c r="T51" s="304"/>
    </row>
    <row r="52" spans="1:20" s="1" customFormat="1" ht="10.5" customHeight="1" x14ac:dyDescent="0.25">
      <c r="A52" s="150"/>
      <c r="B52" s="151"/>
      <c r="C52" s="64"/>
      <c r="E52" s="153"/>
      <c r="F52" s="152"/>
      <c r="G52" s="198"/>
      <c r="H52" s="198"/>
      <c r="I52" s="199"/>
      <c r="J52" s="199"/>
      <c r="K52" s="199"/>
      <c r="M52" s="304"/>
      <c r="N52" s="304"/>
      <c r="O52" s="304"/>
      <c r="P52" s="304"/>
      <c r="Q52" s="304"/>
      <c r="R52" s="304"/>
      <c r="S52" s="304"/>
      <c r="T52" s="304"/>
    </row>
    <row r="53" spans="1:20" s="1" customFormat="1" ht="18" customHeight="1" x14ac:dyDescent="0.25">
      <c r="A53" s="150"/>
      <c r="B53" s="151" t="s">
        <v>178</v>
      </c>
      <c r="C53" s="64"/>
      <c r="E53" s="153"/>
      <c r="F53" s="152"/>
      <c r="G53" s="281">
        <f>G51*Honorarberechnung!D7</f>
        <v>8340.951320048769</v>
      </c>
      <c r="H53" s="198"/>
      <c r="I53" s="199"/>
      <c r="J53" s="199"/>
      <c r="K53" s="279">
        <f>SUM(Personaleinsatzplan!N11:P11,Personaleinsatzplan!N14:P14,Personaleinsatzplan!N17:P17)</f>
        <v>9227.2348036764015</v>
      </c>
      <c r="M53" s="304"/>
      <c r="N53" s="304"/>
      <c r="O53" s="304"/>
      <c r="P53" s="304"/>
      <c r="Q53" s="304"/>
      <c r="R53" s="304"/>
      <c r="S53" s="304"/>
      <c r="T53" s="304"/>
    </row>
    <row r="54" spans="1:20" s="1" customFormat="1" ht="14.4" thickBot="1" x14ac:dyDescent="0.3">
      <c r="A54" s="49"/>
      <c r="B54" s="49"/>
      <c r="C54" s="49"/>
      <c r="D54" s="196"/>
      <c r="E54" s="49"/>
      <c r="F54" s="49"/>
      <c r="H54" s="204"/>
      <c r="M54" s="304"/>
      <c r="N54" s="304"/>
      <c r="O54" s="304"/>
      <c r="P54" s="304"/>
      <c r="Q54" s="304"/>
      <c r="R54" s="304"/>
      <c r="S54" s="304"/>
      <c r="T54" s="304"/>
    </row>
    <row r="55" spans="1:20" s="83" customFormat="1" ht="16.2" thickBot="1" x14ac:dyDescent="0.35">
      <c r="A55" s="62" t="s">
        <v>157</v>
      </c>
      <c r="B55" s="86"/>
      <c r="C55" s="41"/>
      <c r="D55" s="146" t="s">
        <v>155</v>
      </c>
      <c r="E55" s="147"/>
      <c r="F55" s="285">
        <f>Leistungsumfang!F29</f>
        <v>0</v>
      </c>
      <c r="G55" s="155"/>
      <c r="H55" s="205"/>
      <c r="I55" s="212"/>
      <c r="J55" s="283">
        <f>SUM(Personaleinsatzplan!Q19:Q19)</f>
        <v>0</v>
      </c>
      <c r="K55" s="213" t="s">
        <v>169</v>
      </c>
      <c r="M55" s="307"/>
      <c r="N55" s="307"/>
      <c r="O55" s="307"/>
      <c r="P55" s="307"/>
      <c r="Q55" s="307"/>
      <c r="R55" s="307"/>
      <c r="S55" s="307"/>
      <c r="T55" s="307"/>
    </row>
    <row r="56" spans="1:20" s="83" customFormat="1" ht="15.75" customHeight="1" x14ac:dyDescent="0.25">
      <c r="A56" s="49"/>
      <c r="B56" s="49"/>
      <c r="C56" s="49"/>
      <c r="D56" s="196"/>
      <c r="E56" s="49"/>
      <c r="F56" s="49"/>
      <c r="G56" s="1"/>
      <c r="H56" s="204"/>
      <c r="I56" s="1"/>
      <c r="J56" s="1"/>
      <c r="K56" s="1"/>
      <c r="M56" s="307"/>
      <c r="N56" s="307"/>
      <c r="O56" s="307"/>
      <c r="P56" s="307"/>
      <c r="Q56" s="307"/>
      <c r="R56" s="307"/>
      <c r="S56" s="307"/>
      <c r="T56" s="307"/>
    </row>
    <row r="57" spans="1:20" ht="15" customHeight="1" x14ac:dyDescent="0.25">
      <c r="A57" s="329" t="s">
        <v>236</v>
      </c>
      <c r="B57" s="54" t="s">
        <v>235</v>
      </c>
      <c r="C57" s="49"/>
      <c r="D57" s="197">
        <f>IFERROR(G57/F55,0)</f>
        <v>0</v>
      </c>
      <c r="E57" s="148" t="e">
        <f>G57/$G$59</f>
        <v>#DIV/0!</v>
      </c>
      <c r="F57" s="334"/>
      <c r="G57" s="284">
        <f>Honorarberechnung!H21</f>
        <v>0</v>
      </c>
      <c r="H57" s="200"/>
      <c r="I57" s="325" t="str">
        <f>IF(OR(G59-J55&gt;1,G59-J55&lt;-1),"Abweichung zwischen h aus PEP und h aus der Honorar-ermittlung beträgt:","")</f>
        <v/>
      </c>
      <c r="J57" s="325"/>
      <c r="K57" s="325"/>
      <c r="M57" s="305"/>
      <c r="N57" s="305"/>
      <c r="O57" s="305"/>
      <c r="P57" s="305"/>
      <c r="Q57" s="305"/>
      <c r="R57" s="305"/>
      <c r="S57" s="305"/>
      <c r="T57" s="305"/>
    </row>
    <row r="58" spans="1:20" ht="15" hidden="1" customHeight="1" x14ac:dyDescent="0.25">
      <c r="A58" s="56"/>
      <c r="B58" s="54" t="s">
        <v>74</v>
      </c>
      <c r="C58" s="49"/>
      <c r="D58" s="197">
        <f>IFERROR(G58/F55,0)</f>
        <v>0</v>
      </c>
      <c r="E58" s="148" t="e">
        <f>G58/$G$59</f>
        <v>#DIV/0!</v>
      </c>
      <c r="F58" s="286"/>
      <c r="G58" s="284">
        <f>Honorarberechnung!H27</f>
        <v>0</v>
      </c>
      <c r="H58" s="200"/>
      <c r="I58" s="325"/>
      <c r="J58" s="325"/>
      <c r="K58" s="325"/>
      <c r="M58" s="304"/>
      <c r="N58" s="304"/>
      <c r="O58" s="305"/>
      <c r="P58" s="305"/>
      <c r="Q58" s="305"/>
      <c r="R58" s="305"/>
      <c r="S58" s="305"/>
      <c r="T58" s="305"/>
    </row>
    <row r="59" spans="1:20" x14ac:dyDescent="0.25">
      <c r="A59" s="156"/>
      <c r="B59" s="151" t="s">
        <v>156</v>
      </c>
      <c r="C59" s="64"/>
      <c r="E59" s="278" t="e">
        <f>SUM(E57:E58)</f>
        <v>#DIV/0!</v>
      </c>
      <c r="F59" s="152"/>
      <c r="G59" s="152">
        <f>SUM(G57:G58)</f>
        <v>0</v>
      </c>
      <c r="H59" s="198"/>
      <c r="I59" s="325"/>
      <c r="J59" s="325"/>
      <c r="K59" s="277" t="e">
        <f>ABS(J55/G59-1)</f>
        <v>#DIV/0!</v>
      </c>
      <c r="M59" s="305"/>
      <c r="N59" s="305"/>
      <c r="O59" s="305"/>
      <c r="P59" s="305"/>
      <c r="Q59" s="305"/>
      <c r="R59" s="305"/>
      <c r="S59" s="305"/>
      <c r="T59" s="305"/>
    </row>
    <row r="60" spans="1:20" ht="6.75" customHeight="1" x14ac:dyDescent="0.25">
      <c r="A60" s="156"/>
      <c r="B60" s="151"/>
      <c r="C60" s="64"/>
      <c r="E60" s="153"/>
      <c r="F60" s="152"/>
      <c r="G60" s="152"/>
      <c r="H60" s="198"/>
      <c r="I60" s="210"/>
      <c r="J60" s="210"/>
      <c r="M60" s="305"/>
      <c r="N60" s="305"/>
      <c r="O60" s="305"/>
      <c r="P60" s="305"/>
      <c r="Q60" s="305"/>
      <c r="R60" s="305"/>
      <c r="S60" s="305"/>
      <c r="T60" s="305"/>
    </row>
    <row r="61" spans="1:20" s="1" customFormat="1" ht="10.5" customHeight="1" x14ac:dyDescent="0.25">
      <c r="A61" s="150"/>
      <c r="B61" s="151"/>
      <c r="C61" s="64"/>
      <c r="E61" s="153"/>
      <c r="F61" s="152"/>
      <c r="G61" s="198"/>
      <c r="H61" s="198"/>
      <c r="I61" s="210"/>
      <c r="J61" s="210"/>
      <c r="K61" s="210"/>
      <c r="M61" s="304"/>
      <c r="N61" s="304"/>
      <c r="O61" s="304"/>
      <c r="P61" s="304"/>
      <c r="Q61" s="304"/>
      <c r="R61" s="304"/>
      <c r="S61" s="304"/>
      <c r="T61" s="304"/>
    </row>
    <row r="62" spans="1:20" s="1" customFormat="1" ht="18" customHeight="1" x14ac:dyDescent="0.25">
      <c r="A62" s="150"/>
      <c r="B62" s="151" t="s">
        <v>179</v>
      </c>
      <c r="C62" s="64"/>
      <c r="E62" s="153"/>
      <c r="F62" s="152"/>
      <c r="G62" s="281">
        <f>G59*Honorarberechnung!D7</f>
        <v>0</v>
      </c>
      <c r="H62" s="198"/>
      <c r="I62" s="199"/>
      <c r="J62" s="199"/>
      <c r="K62" s="279">
        <f>SUM(Personaleinsatzplan!Q11:Q11,Personaleinsatzplan!Q14:Q14,Personaleinsatzplan!Q17:Q17)</f>
        <v>0</v>
      </c>
      <c r="M62" s="304"/>
      <c r="N62" s="304"/>
      <c r="O62" s="304"/>
      <c r="P62" s="304"/>
      <c r="Q62" s="304"/>
      <c r="R62" s="304"/>
      <c r="S62" s="304"/>
      <c r="T62" s="304"/>
    </row>
    <row r="63" spans="1:20" s="1" customFormat="1" ht="10.5" customHeight="1" x14ac:dyDescent="0.25">
      <c r="A63" s="150"/>
      <c r="B63" s="151"/>
      <c r="C63" s="64"/>
      <c r="E63" s="153"/>
      <c r="F63" s="152"/>
      <c r="G63" s="198"/>
      <c r="H63" s="198"/>
      <c r="I63" s="199"/>
      <c r="J63" s="199"/>
      <c r="K63" s="199"/>
      <c r="M63" s="304"/>
      <c r="N63" s="304"/>
      <c r="O63" s="304"/>
      <c r="P63" s="304"/>
      <c r="Q63" s="304"/>
      <c r="R63" s="304"/>
      <c r="S63" s="304"/>
      <c r="T63" s="304"/>
    </row>
    <row r="64" spans="1:20" s="1" customFormat="1" ht="18" customHeight="1" x14ac:dyDescent="0.25">
      <c r="A64" s="150"/>
      <c r="B64" s="151" t="s">
        <v>204</v>
      </c>
      <c r="C64" s="64"/>
      <c r="E64" s="153"/>
      <c r="F64" s="152"/>
      <c r="G64" s="282">
        <f>SUM(G25,G35,G45,G53,G62)</f>
        <v>127527.57155344568</v>
      </c>
      <c r="H64" s="198"/>
      <c r="I64" s="199"/>
      <c r="J64" s="199"/>
      <c r="K64" s="280">
        <f>SUM(K62,K53,K45,K35,K25)</f>
        <v>125760.8467638999</v>
      </c>
      <c r="M64" s="304"/>
      <c r="N64" s="304"/>
      <c r="O64" s="304"/>
      <c r="P64" s="304"/>
      <c r="Q64" s="304"/>
      <c r="R64" s="304"/>
      <c r="S64" s="304"/>
      <c r="T64" s="304"/>
    </row>
    <row r="65" spans="1:20" s="1" customFormat="1" ht="10.5" customHeight="1" x14ac:dyDescent="0.25">
      <c r="A65" s="150"/>
      <c r="B65" s="151"/>
      <c r="C65" s="64"/>
      <c r="E65" s="153"/>
      <c r="F65" s="152"/>
      <c r="G65" s="198"/>
      <c r="H65" s="198"/>
      <c r="I65" s="210"/>
      <c r="J65" s="210"/>
      <c r="K65" s="210"/>
      <c r="M65" s="304"/>
      <c r="N65" s="304"/>
      <c r="O65" s="304"/>
      <c r="P65" s="304"/>
      <c r="Q65" s="304"/>
      <c r="R65" s="304"/>
      <c r="S65" s="304"/>
      <c r="T65" s="304"/>
    </row>
    <row r="66" spans="1:20" s="1" customFormat="1" ht="18" customHeight="1" x14ac:dyDescent="0.25">
      <c r="A66" s="150"/>
      <c r="B66" s="151" t="s">
        <v>206</v>
      </c>
      <c r="C66" s="64"/>
      <c r="E66" s="153"/>
      <c r="F66" s="152"/>
      <c r="G66" s="299"/>
      <c r="H66" s="198"/>
      <c r="I66" s="210"/>
      <c r="J66" s="210"/>
      <c r="K66" s="280"/>
      <c r="L66" s="311" t="s">
        <v>209</v>
      </c>
      <c r="M66" s="304"/>
      <c r="N66" s="304"/>
      <c r="O66" s="304"/>
      <c r="P66" s="304"/>
      <c r="Q66" s="304"/>
      <c r="R66" s="304"/>
      <c r="S66" s="304"/>
      <c r="T66" s="304"/>
    </row>
    <row r="67" spans="1:20" s="1" customFormat="1" ht="18" customHeight="1" x14ac:dyDescent="0.25">
      <c r="A67" s="150"/>
      <c r="B67" s="151"/>
      <c r="C67" s="64"/>
      <c r="E67" s="153"/>
      <c r="F67" s="152"/>
      <c r="G67" s="198"/>
      <c r="H67" s="198"/>
      <c r="I67" s="199"/>
      <c r="J67" s="199"/>
      <c r="K67" s="199"/>
      <c r="M67" s="304"/>
      <c r="N67" s="304"/>
      <c r="O67" s="304"/>
      <c r="P67" s="304"/>
      <c r="Q67" s="304"/>
      <c r="R67" s="304"/>
      <c r="S67" s="304"/>
      <c r="T67" s="304"/>
    </row>
    <row r="68" spans="1:20" s="1" customFormat="1" ht="18" customHeight="1" x14ac:dyDescent="0.25">
      <c r="A68" s="150"/>
      <c r="B68" s="219" t="s">
        <v>297</v>
      </c>
      <c r="C68" s="64"/>
      <c r="E68" s="153"/>
      <c r="F68" s="152"/>
      <c r="G68" s="198"/>
      <c r="H68" s="198"/>
      <c r="I68" s="199"/>
      <c r="J68" s="199"/>
      <c r="K68" s="281">
        <f>G64</f>
        <v>127527.57155344568</v>
      </c>
      <c r="M68" s="304"/>
      <c r="N68" s="304"/>
      <c r="O68" s="304"/>
      <c r="P68" s="304"/>
      <c r="Q68" s="304"/>
      <c r="R68" s="304"/>
      <c r="S68" s="304"/>
      <c r="T68" s="304"/>
    </row>
    <row r="69" spans="1:20" x14ac:dyDescent="0.25">
      <c r="A69" s="64"/>
      <c r="B69" s="220" t="s">
        <v>205</v>
      </c>
      <c r="C69" s="214"/>
      <c r="D69" s="214"/>
      <c r="E69" s="214"/>
      <c r="F69" s="214"/>
      <c r="G69" s="215"/>
      <c r="H69" s="216"/>
      <c r="I69" s="217"/>
      <c r="J69" s="217"/>
      <c r="K69" s="281">
        <f>K64+K66</f>
        <v>125760.8467638999</v>
      </c>
      <c r="M69" s="305"/>
      <c r="N69" s="305"/>
      <c r="O69" s="305"/>
      <c r="P69" s="305"/>
      <c r="Q69" s="305"/>
      <c r="R69" s="305"/>
      <c r="S69" s="305"/>
      <c r="T69" s="305"/>
    </row>
    <row r="70" spans="1:20" x14ac:dyDescent="0.25">
      <c r="A70" s="64"/>
      <c r="B70" s="218" t="s">
        <v>171</v>
      </c>
      <c r="C70" s="64"/>
      <c r="D70" s="64"/>
      <c r="E70" s="64"/>
      <c r="F70" s="64"/>
      <c r="G70" s="83"/>
      <c r="H70" s="206"/>
      <c r="I70" s="199"/>
      <c r="J70" s="221" t="s">
        <v>170</v>
      </c>
      <c r="K70" s="282">
        <f>ABS(K69-K68)</f>
        <v>1766.724789545784</v>
      </c>
      <c r="M70" s="305"/>
      <c r="N70" s="305"/>
      <c r="O70" s="305"/>
      <c r="P70" s="305"/>
      <c r="Q70" s="305"/>
      <c r="R70" s="305"/>
      <c r="S70" s="305"/>
      <c r="T70" s="305"/>
    </row>
    <row r="71" spans="1:20" ht="5.25" customHeight="1" x14ac:dyDescent="0.25">
      <c r="A71" s="64"/>
      <c r="B71" s="211"/>
      <c r="C71" s="64"/>
      <c r="D71" s="64"/>
      <c r="E71" s="64"/>
      <c r="F71" s="64"/>
      <c r="G71" s="83"/>
      <c r="H71" s="206"/>
      <c r="I71" s="199"/>
      <c r="J71" s="199"/>
      <c r="K71" s="199"/>
      <c r="M71" s="305"/>
      <c r="N71" s="305"/>
      <c r="O71" s="305"/>
      <c r="P71" s="305"/>
      <c r="Q71" s="305"/>
      <c r="R71" s="305"/>
      <c r="S71" s="305"/>
      <c r="T71" s="305"/>
    </row>
    <row r="72" spans="1:20" x14ac:dyDescent="0.25">
      <c r="A72" s="39" t="s">
        <v>210</v>
      </c>
    </row>
  </sheetData>
  <mergeCells count="16">
    <mergeCell ref="D11:E11"/>
    <mergeCell ref="I16:K16"/>
    <mergeCell ref="D13:G13"/>
    <mergeCell ref="D3:K3"/>
    <mergeCell ref="D4:K4"/>
    <mergeCell ref="D7:E7"/>
    <mergeCell ref="D8:E8"/>
    <mergeCell ref="D9:E9"/>
    <mergeCell ref="D10:E10"/>
    <mergeCell ref="I49:K49"/>
    <mergeCell ref="B13:B16"/>
    <mergeCell ref="A13:A16"/>
    <mergeCell ref="I20:K22"/>
    <mergeCell ref="I13:K15"/>
    <mergeCell ref="I29:K31"/>
    <mergeCell ref="I39:K41"/>
  </mergeCells>
  <pageMargins left="0.7" right="0.7" top="0.78740157499999996" bottom="0.78740157499999996" header="0.3" footer="0.3"/>
  <pageSetup paperSize="9" fitToHeight="0" orientation="landscape" r:id="rId1"/>
  <rowBreaks count="1" manualBreakCount="1">
    <brk id="36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9"/>
  <sheetViews>
    <sheetView showGridLines="0" topLeftCell="A4" zoomScaleNormal="100" workbookViewId="0">
      <selection activeCell="O17" sqref="O17"/>
    </sheetView>
  </sheetViews>
  <sheetFormatPr baseColWidth="10" defaultColWidth="11.44140625" defaultRowHeight="13.2" x14ac:dyDescent="0.25"/>
  <cols>
    <col min="1" max="1" width="14.5546875" style="237" customWidth="1"/>
    <col min="2" max="2" width="5.109375" style="237" customWidth="1"/>
    <col min="3" max="3" width="7.109375" style="237" customWidth="1"/>
    <col min="4" max="6" width="11.44140625" style="237"/>
    <col min="7" max="7" width="2" style="237" customWidth="1"/>
    <col min="8" max="8" width="9.109375" style="237" bestFit="1" customWidth="1"/>
    <col min="9" max="9" width="2" style="237" bestFit="1" customWidth="1"/>
    <col min="10" max="10" width="10.88671875" style="237" bestFit="1" customWidth="1"/>
    <col min="11" max="11" width="2.109375" style="237" bestFit="1" customWidth="1"/>
    <col min="12" max="12" width="11.6640625" style="237" bestFit="1" customWidth="1"/>
    <col min="13" max="13" width="2.109375" style="237" customWidth="1"/>
    <col min="14" max="14" width="14.44140625" style="237" bestFit="1" customWidth="1"/>
    <col min="15" max="16384" width="11.44140625" style="237"/>
  </cols>
  <sheetData>
    <row r="1" spans="1:15" s="233" customFormat="1" ht="17.399999999999999" x14ac:dyDescent="0.3">
      <c r="A1" s="231" t="s">
        <v>186</v>
      </c>
      <c r="B1" s="232"/>
      <c r="C1" s="232"/>
      <c r="D1" s="232"/>
      <c r="E1" s="232"/>
      <c r="F1" s="232"/>
      <c r="G1" s="232"/>
    </row>
    <row r="2" spans="1:15" s="233" customFormat="1" ht="17.399999999999999" x14ac:dyDescent="0.3">
      <c r="A2" s="231"/>
      <c r="B2" s="232"/>
      <c r="C2" s="232"/>
      <c r="D2" s="232"/>
      <c r="E2" s="232"/>
      <c r="F2" s="232"/>
      <c r="G2" s="232"/>
    </row>
    <row r="3" spans="1:15" s="235" customFormat="1" ht="15.6" x14ac:dyDescent="0.3">
      <c r="A3" s="234" t="s">
        <v>61</v>
      </c>
      <c r="B3" s="234"/>
      <c r="C3" s="234"/>
      <c r="D3" s="472" t="str">
        <f>Leistungsumfang!D3</f>
        <v>ABA BA 14, 6000 m Schmutz- und Regenwasserkanäle</v>
      </c>
      <c r="E3" s="468"/>
      <c r="F3" s="468"/>
      <c r="G3" s="468"/>
      <c r="H3" s="468"/>
      <c r="I3" s="468"/>
      <c r="J3" s="468"/>
      <c r="K3" s="468"/>
      <c r="L3" s="468"/>
      <c r="M3" s="468"/>
      <c r="N3" s="469"/>
    </row>
    <row r="4" spans="1:15" s="235" customFormat="1" ht="15.6" x14ac:dyDescent="0.3">
      <c r="A4" s="234" t="s">
        <v>62</v>
      </c>
      <c r="B4" s="234"/>
      <c r="C4" s="234"/>
      <c r="D4" s="473" t="str">
        <f>Leistungsumfang!D4</f>
        <v>AG 02</v>
      </c>
      <c r="E4" s="470"/>
      <c r="F4" s="470"/>
      <c r="G4" s="470"/>
      <c r="H4" s="470"/>
      <c r="I4" s="470"/>
      <c r="J4" s="470"/>
      <c r="K4" s="470"/>
      <c r="L4" s="470"/>
      <c r="M4" s="470"/>
      <c r="N4" s="471"/>
    </row>
    <row r="7" spans="1:15" ht="16.5" customHeight="1" x14ac:dyDescent="0.3">
      <c r="A7" s="452" t="s">
        <v>215</v>
      </c>
      <c r="B7" s="454" t="s">
        <v>249</v>
      </c>
      <c r="C7" s="454"/>
      <c r="D7" s="454"/>
      <c r="E7" s="454"/>
      <c r="F7" s="455"/>
      <c r="G7" s="236"/>
      <c r="H7" s="238" t="s">
        <v>169</v>
      </c>
      <c r="I7" s="458" t="s">
        <v>188</v>
      </c>
      <c r="J7" s="238" t="s">
        <v>187</v>
      </c>
      <c r="K7" s="459" t="s">
        <v>189</v>
      </c>
      <c r="L7" s="253"/>
      <c r="M7" s="460"/>
      <c r="N7" s="449" t="s">
        <v>2</v>
      </c>
      <c r="O7" s="236"/>
    </row>
    <row r="8" spans="1:15" ht="13.8" x14ac:dyDescent="0.25">
      <c r="A8" s="453"/>
      <c r="B8" s="456"/>
      <c r="C8" s="456"/>
      <c r="D8" s="456"/>
      <c r="E8" s="456"/>
      <c r="F8" s="457"/>
      <c r="G8" s="236"/>
      <c r="H8" s="239"/>
      <c r="I8" s="458"/>
      <c r="J8" s="240"/>
      <c r="K8" s="459"/>
      <c r="L8" s="252"/>
      <c r="M8" s="460"/>
      <c r="N8" s="450"/>
      <c r="O8" s="236"/>
    </row>
    <row r="9" spans="1:15" ht="6.75" customHeight="1" x14ac:dyDescent="0.25">
      <c r="A9" s="236"/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42"/>
      <c r="N9" s="243"/>
      <c r="O9" s="236"/>
    </row>
    <row r="10" spans="1:15" ht="17.25" customHeight="1" x14ac:dyDescent="0.3">
      <c r="A10" s="452" t="s">
        <v>216</v>
      </c>
      <c r="B10" s="454" t="s">
        <v>190</v>
      </c>
      <c r="C10" s="454"/>
      <c r="D10" s="454"/>
      <c r="E10" s="454"/>
      <c r="F10" s="455"/>
      <c r="G10" s="236"/>
      <c r="H10" s="238" t="s">
        <v>222</v>
      </c>
      <c r="I10" s="458" t="s">
        <v>188</v>
      </c>
      <c r="J10" s="238" t="s">
        <v>224</v>
      </c>
      <c r="K10" s="458" t="s">
        <v>188</v>
      </c>
      <c r="L10" s="238" t="s">
        <v>187</v>
      </c>
      <c r="M10" s="459" t="s">
        <v>189</v>
      </c>
      <c r="N10" s="449" t="s">
        <v>2</v>
      </c>
      <c r="O10" s="236"/>
    </row>
    <row r="11" spans="1:15" ht="13.8" x14ac:dyDescent="0.25">
      <c r="A11" s="453"/>
      <c r="B11" s="456"/>
      <c r="C11" s="456"/>
      <c r="D11" s="456"/>
      <c r="E11" s="456"/>
      <c r="F11" s="457"/>
      <c r="G11" s="236"/>
      <c r="H11" s="239"/>
      <c r="I11" s="458"/>
      <c r="J11" s="240"/>
      <c r="K11" s="458"/>
      <c r="L11" s="241"/>
      <c r="M11" s="459"/>
      <c r="N11" s="450"/>
      <c r="O11" s="236"/>
    </row>
    <row r="12" spans="1:15" ht="6" customHeight="1" x14ac:dyDescent="0.25">
      <c r="A12" s="236"/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42"/>
      <c r="N12" s="243"/>
      <c r="O12" s="236"/>
    </row>
    <row r="13" spans="1:15" ht="15.75" customHeight="1" x14ac:dyDescent="0.3">
      <c r="A13" s="452" t="s">
        <v>217</v>
      </c>
      <c r="B13" s="454" t="s">
        <v>250</v>
      </c>
      <c r="C13" s="454"/>
      <c r="D13" s="454"/>
      <c r="E13" s="454"/>
      <c r="F13" s="455"/>
      <c r="G13" s="236"/>
      <c r="H13" s="238" t="s">
        <v>222</v>
      </c>
      <c r="I13" s="458" t="s">
        <v>188</v>
      </c>
      <c r="J13" s="238" t="s">
        <v>224</v>
      </c>
      <c r="K13" s="458" t="s">
        <v>188</v>
      </c>
      <c r="L13" s="238" t="s">
        <v>187</v>
      </c>
      <c r="M13" s="459" t="s">
        <v>189</v>
      </c>
      <c r="N13" s="449" t="s">
        <v>2</v>
      </c>
      <c r="O13" s="236"/>
    </row>
    <row r="14" spans="1:15" ht="13.8" x14ac:dyDescent="0.25">
      <c r="A14" s="453"/>
      <c r="B14" s="456"/>
      <c r="C14" s="456"/>
      <c r="D14" s="456"/>
      <c r="E14" s="456"/>
      <c r="F14" s="457"/>
      <c r="G14" s="236"/>
      <c r="H14" s="239"/>
      <c r="I14" s="458"/>
      <c r="J14" s="240"/>
      <c r="K14" s="458"/>
      <c r="L14" s="241"/>
      <c r="M14" s="459"/>
      <c r="N14" s="450"/>
      <c r="O14" s="236"/>
    </row>
    <row r="15" spans="1:15" ht="6" customHeight="1" x14ac:dyDescent="0.25">
      <c r="A15" s="236"/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42"/>
      <c r="N15" s="243"/>
      <c r="O15" s="236"/>
    </row>
    <row r="16" spans="1:15" ht="15.75" customHeight="1" x14ac:dyDescent="0.3">
      <c r="A16" s="452" t="s">
        <v>218</v>
      </c>
      <c r="B16" s="454" t="s">
        <v>251</v>
      </c>
      <c r="C16" s="454"/>
      <c r="D16" s="454"/>
      <c r="E16" s="454"/>
      <c r="F16" s="455"/>
      <c r="G16" s="236"/>
      <c r="H16" s="238" t="s">
        <v>222</v>
      </c>
      <c r="I16" s="458" t="s">
        <v>188</v>
      </c>
      <c r="J16" s="238" t="s">
        <v>224</v>
      </c>
      <c r="K16" s="458" t="s">
        <v>188</v>
      </c>
      <c r="L16" s="238" t="s">
        <v>187</v>
      </c>
      <c r="M16" s="459" t="s">
        <v>189</v>
      </c>
      <c r="N16" s="449" t="s">
        <v>2</v>
      </c>
      <c r="O16" s="236"/>
    </row>
    <row r="17" spans="1:15" ht="13.8" x14ac:dyDescent="0.25">
      <c r="A17" s="453"/>
      <c r="B17" s="456"/>
      <c r="C17" s="456"/>
      <c r="D17" s="456"/>
      <c r="E17" s="456"/>
      <c r="F17" s="457"/>
      <c r="G17" s="236"/>
      <c r="H17" s="239"/>
      <c r="I17" s="458"/>
      <c r="J17" s="240"/>
      <c r="K17" s="458"/>
      <c r="L17" s="241"/>
      <c r="M17" s="459"/>
      <c r="N17" s="450"/>
      <c r="O17" s="236"/>
    </row>
    <row r="18" spans="1:15" ht="6.75" customHeight="1" x14ac:dyDescent="0.25">
      <c r="A18" s="236"/>
      <c r="B18" s="236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42"/>
      <c r="N18" s="243"/>
      <c r="O18" s="236"/>
    </row>
    <row r="19" spans="1:15" ht="17.25" customHeight="1" x14ac:dyDescent="0.3">
      <c r="A19" s="452" t="s">
        <v>219</v>
      </c>
      <c r="B19" s="454" t="s">
        <v>252</v>
      </c>
      <c r="C19" s="454"/>
      <c r="D19" s="454"/>
      <c r="E19" s="454"/>
      <c r="F19" s="455"/>
      <c r="G19" s="236"/>
      <c r="H19" s="238" t="s">
        <v>222</v>
      </c>
      <c r="I19" s="458" t="s">
        <v>188</v>
      </c>
      <c r="J19" s="238" t="s">
        <v>224</v>
      </c>
      <c r="K19" s="458" t="s">
        <v>188</v>
      </c>
      <c r="L19" s="238" t="s">
        <v>187</v>
      </c>
      <c r="M19" s="459" t="s">
        <v>189</v>
      </c>
      <c r="N19" s="449" t="s">
        <v>2</v>
      </c>
      <c r="O19" s="236"/>
    </row>
    <row r="20" spans="1:15" ht="13.8" x14ac:dyDescent="0.25">
      <c r="A20" s="453"/>
      <c r="B20" s="456"/>
      <c r="C20" s="456"/>
      <c r="D20" s="456"/>
      <c r="E20" s="456"/>
      <c r="F20" s="457"/>
      <c r="G20" s="236"/>
      <c r="H20" s="239"/>
      <c r="I20" s="458"/>
      <c r="J20" s="240"/>
      <c r="K20" s="458"/>
      <c r="L20" s="241"/>
      <c r="M20" s="459"/>
      <c r="N20" s="450"/>
      <c r="O20" s="236"/>
    </row>
    <row r="21" spans="1:15" ht="6" customHeight="1" x14ac:dyDescent="0.25">
      <c r="A21" s="236"/>
      <c r="B21" s="236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42"/>
      <c r="N21" s="243"/>
      <c r="O21" s="236"/>
    </row>
    <row r="22" spans="1:15" ht="15.75" customHeight="1" x14ac:dyDescent="0.3">
      <c r="A22" s="461" t="s">
        <v>255</v>
      </c>
      <c r="B22" s="454" t="s">
        <v>253</v>
      </c>
      <c r="C22" s="454"/>
      <c r="D22" s="454"/>
      <c r="E22" s="454"/>
      <c r="F22" s="455"/>
      <c r="G22" s="236"/>
      <c r="H22" s="238" t="s">
        <v>222</v>
      </c>
      <c r="I22" s="458" t="s">
        <v>188</v>
      </c>
      <c r="J22" s="238" t="s">
        <v>224</v>
      </c>
      <c r="K22" s="458" t="s">
        <v>188</v>
      </c>
      <c r="L22" s="238" t="s">
        <v>187</v>
      </c>
      <c r="M22" s="459" t="s">
        <v>189</v>
      </c>
      <c r="N22" s="449" t="s">
        <v>2</v>
      </c>
      <c r="O22" s="236"/>
    </row>
    <row r="23" spans="1:15" ht="13.8" x14ac:dyDescent="0.25">
      <c r="A23" s="462"/>
      <c r="B23" s="456"/>
      <c r="C23" s="456"/>
      <c r="D23" s="456"/>
      <c r="E23" s="456"/>
      <c r="F23" s="457"/>
      <c r="G23" s="236"/>
      <c r="H23" s="239"/>
      <c r="I23" s="458"/>
      <c r="J23" s="240"/>
      <c r="K23" s="458"/>
      <c r="L23" s="241"/>
      <c r="M23" s="459"/>
      <c r="N23" s="450"/>
      <c r="O23" s="236"/>
    </row>
    <row r="24" spans="1:15" ht="6" customHeight="1" x14ac:dyDescent="0.25">
      <c r="A24" s="236"/>
      <c r="B24" s="236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42"/>
      <c r="N24" s="243"/>
      <c r="O24" s="236"/>
    </row>
    <row r="25" spans="1:15" ht="15.75" customHeight="1" x14ac:dyDescent="0.3">
      <c r="A25" s="461" t="s">
        <v>256</v>
      </c>
      <c r="B25" s="454" t="s">
        <v>254</v>
      </c>
      <c r="C25" s="454"/>
      <c r="D25" s="454"/>
      <c r="E25" s="454"/>
      <c r="F25" s="455"/>
      <c r="G25" s="236"/>
      <c r="H25" s="238" t="s">
        <v>169</v>
      </c>
      <c r="I25" s="458" t="s">
        <v>188</v>
      </c>
      <c r="J25" s="238" t="s">
        <v>187</v>
      </c>
      <c r="K25" s="459" t="s">
        <v>189</v>
      </c>
      <c r="L25" s="253"/>
      <c r="M25" s="460"/>
      <c r="N25" s="449" t="s">
        <v>2</v>
      </c>
      <c r="O25" s="236"/>
    </row>
    <row r="26" spans="1:15" ht="13.8" x14ac:dyDescent="0.25">
      <c r="A26" s="462"/>
      <c r="B26" s="456"/>
      <c r="C26" s="456"/>
      <c r="D26" s="456"/>
      <c r="E26" s="456"/>
      <c r="F26" s="457"/>
      <c r="G26" s="236"/>
      <c r="H26" s="239"/>
      <c r="I26" s="458"/>
      <c r="J26" s="240"/>
      <c r="K26" s="459"/>
      <c r="L26" s="252"/>
      <c r="M26" s="460"/>
      <c r="N26" s="450"/>
      <c r="O26" s="236"/>
    </row>
    <row r="27" spans="1:15" ht="6" customHeight="1" x14ac:dyDescent="0.25">
      <c r="A27" s="236"/>
      <c r="B27" s="236"/>
      <c r="C27" s="236"/>
      <c r="D27" s="236"/>
      <c r="E27" s="236"/>
      <c r="F27" s="236"/>
      <c r="G27" s="236"/>
      <c r="H27" s="236"/>
      <c r="I27" s="236"/>
      <c r="J27" s="236"/>
      <c r="K27" s="236"/>
      <c r="L27" s="236"/>
      <c r="M27" s="242"/>
      <c r="N27" s="243"/>
      <c r="O27" s="236"/>
    </row>
    <row r="28" spans="1:15" ht="15.75" customHeight="1" x14ac:dyDescent="0.3">
      <c r="A28" s="452" t="s">
        <v>258</v>
      </c>
      <c r="B28" s="454" t="s">
        <v>257</v>
      </c>
      <c r="C28" s="454"/>
      <c r="D28" s="454"/>
      <c r="E28" s="454"/>
      <c r="F28" s="455"/>
      <c r="G28" s="236"/>
      <c r="H28" s="238" t="s">
        <v>148</v>
      </c>
      <c r="I28" s="458" t="s">
        <v>188</v>
      </c>
      <c r="J28" s="238" t="s">
        <v>191</v>
      </c>
      <c r="K28" s="458" t="s">
        <v>188</v>
      </c>
      <c r="L28" s="238" t="s">
        <v>187</v>
      </c>
      <c r="M28" s="459" t="s">
        <v>189</v>
      </c>
      <c r="N28" s="449" t="s">
        <v>2</v>
      </c>
      <c r="O28" s="236"/>
    </row>
    <row r="29" spans="1:15" ht="13.8" x14ac:dyDescent="0.25">
      <c r="A29" s="453"/>
      <c r="B29" s="456"/>
      <c r="C29" s="456"/>
      <c r="D29" s="456"/>
      <c r="E29" s="456"/>
      <c r="F29" s="457"/>
      <c r="G29" s="236"/>
      <c r="H29" s="239"/>
      <c r="I29" s="458"/>
      <c r="J29" s="240"/>
      <c r="K29" s="458"/>
      <c r="L29" s="241"/>
      <c r="M29" s="459"/>
      <c r="N29" s="450"/>
      <c r="O29" s="236"/>
    </row>
    <row r="30" spans="1:15" ht="6.75" customHeight="1" x14ac:dyDescent="0.25">
      <c r="A30" s="236"/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42"/>
      <c r="N30" s="243"/>
      <c r="O30" s="236"/>
    </row>
    <row r="31" spans="1:15" ht="17.25" customHeight="1" x14ac:dyDescent="0.3">
      <c r="A31" s="452" t="s">
        <v>220</v>
      </c>
      <c r="B31" s="463" t="s">
        <v>259</v>
      </c>
      <c r="C31" s="464"/>
      <c r="D31" s="464"/>
      <c r="E31" s="464"/>
      <c r="F31" s="465"/>
      <c r="G31" s="236"/>
      <c r="H31" s="253"/>
      <c r="I31" s="460"/>
      <c r="J31" s="253"/>
      <c r="K31" s="460"/>
      <c r="L31" s="253"/>
      <c r="M31" s="460"/>
      <c r="N31" s="451"/>
      <c r="O31" s="316"/>
    </row>
    <row r="32" spans="1:15" ht="13.8" x14ac:dyDescent="0.25">
      <c r="A32" s="453"/>
      <c r="B32" s="466"/>
      <c r="C32" s="466"/>
      <c r="D32" s="466"/>
      <c r="E32" s="466"/>
      <c r="F32" s="467"/>
      <c r="G32" s="236"/>
      <c r="H32" s="316"/>
      <c r="I32" s="460"/>
      <c r="J32" s="317"/>
      <c r="K32" s="460"/>
      <c r="L32" s="252"/>
      <c r="M32" s="460"/>
      <c r="N32" s="451"/>
      <c r="O32" s="316"/>
    </row>
    <row r="33" spans="1:15" ht="6" customHeight="1" x14ac:dyDescent="0.25">
      <c r="A33" s="236"/>
      <c r="B33" s="236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42"/>
      <c r="N33" s="243"/>
      <c r="O33" s="236"/>
    </row>
    <row r="34" spans="1:15" ht="15.75" customHeight="1" x14ac:dyDescent="0.3">
      <c r="A34" s="452" t="s">
        <v>221</v>
      </c>
      <c r="B34" s="454" t="s">
        <v>260</v>
      </c>
      <c r="C34" s="454"/>
      <c r="D34" s="454"/>
      <c r="E34" s="454"/>
      <c r="F34" s="455"/>
      <c r="G34" s="236"/>
      <c r="H34" s="238" t="s">
        <v>169</v>
      </c>
      <c r="I34" s="458" t="s">
        <v>188</v>
      </c>
      <c r="J34" s="238" t="s">
        <v>187</v>
      </c>
      <c r="K34" s="459" t="s">
        <v>189</v>
      </c>
      <c r="L34" s="253"/>
      <c r="M34" s="460"/>
      <c r="N34" s="449" t="s">
        <v>2</v>
      </c>
      <c r="O34" s="236"/>
    </row>
    <row r="35" spans="1:15" ht="13.8" x14ac:dyDescent="0.25">
      <c r="A35" s="453"/>
      <c r="B35" s="456"/>
      <c r="C35" s="456"/>
      <c r="D35" s="456"/>
      <c r="E35" s="456"/>
      <c r="F35" s="457"/>
      <c r="G35" s="236"/>
      <c r="H35" s="239"/>
      <c r="I35" s="458"/>
      <c r="J35" s="240"/>
      <c r="K35" s="459"/>
      <c r="L35" s="252"/>
      <c r="M35" s="460"/>
      <c r="N35" s="450"/>
      <c r="O35" s="236"/>
    </row>
    <row r="36" spans="1:15" ht="11.25" customHeight="1" x14ac:dyDescent="0.25">
      <c r="A36" s="236"/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43"/>
      <c r="O36" s="236"/>
    </row>
    <row r="37" spans="1:15" s="249" customFormat="1" ht="21" customHeight="1" x14ac:dyDescent="0.25">
      <c r="A37" s="244" t="s">
        <v>163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54"/>
      <c r="M37" s="246"/>
      <c r="N37" s="247" t="s">
        <v>2</v>
      </c>
      <c r="O37" s="248"/>
    </row>
    <row r="38" spans="1:15" ht="9.75" customHeight="1" x14ac:dyDescent="0.25">
      <c r="A38" s="236"/>
      <c r="B38" s="236"/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50"/>
      <c r="N38" s="236"/>
      <c r="O38" s="236"/>
    </row>
    <row r="39" spans="1:15" x14ac:dyDescent="0.25">
      <c r="A39" s="251" t="s">
        <v>214</v>
      </c>
    </row>
  </sheetData>
  <mergeCells count="62">
    <mergeCell ref="A13:A14"/>
    <mergeCell ref="B13:F14"/>
    <mergeCell ref="I13:I14"/>
    <mergeCell ref="D3:N3"/>
    <mergeCell ref="D4:N4"/>
    <mergeCell ref="A7:A8"/>
    <mergeCell ref="B7:F8"/>
    <mergeCell ref="I7:I8"/>
    <mergeCell ref="K7:K8"/>
    <mergeCell ref="M7:M8"/>
    <mergeCell ref="N7:N8"/>
    <mergeCell ref="A10:A11"/>
    <mergeCell ref="B10:F11"/>
    <mergeCell ref="I10:I11"/>
    <mergeCell ref="K10:K11"/>
    <mergeCell ref="M10:M11"/>
    <mergeCell ref="N10:N11"/>
    <mergeCell ref="A19:A20"/>
    <mergeCell ref="B19:F20"/>
    <mergeCell ref="I19:I20"/>
    <mergeCell ref="A16:A17"/>
    <mergeCell ref="B16:F17"/>
    <mergeCell ref="I16:I17"/>
    <mergeCell ref="K19:K20"/>
    <mergeCell ref="M19:M20"/>
    <mergeCell ref="N19:N20"/>
    <mergeCell ref="K16:K17"/>
    <mergeCell ref="M16:M17"/>
    <mergeCell ref="N16:N17"/>
    <mergeCell ref="K13:K14"/>
    <mergeCell ref="M13:M14"/>
    <mergeCell ref="N13:N14"/>
    <mergeCell ref="M25:M26"/>
    <mergeCell ref="N25:N26"/>
    <mergeCell ref="K22:K23"/>
    <mergeCell ref="M22:M23"/>
    <mergeCell ref="N22:N23"/>
    <mergeCell ref="K25:K26"/>
    <mergeCell ref="A22:A23"/>
    <mergeCell ref="B22:F23"/>
    <mergeCell ref="I22:I23"/>
    <mergeCell ref="A31:A32"/>
    <mergeCell ref="B31:F32"/>
    <mergeCell ref="A25:A26"/>
    <mergeCell ref="B25:F26"/>
    <mergeCell ref="I25:I26"/>
    <mergeCell ref="I31:I32"/>
    <mergeCell ref="N28:N29"/>
    <mergeCell ref="N31:N32"/>
    <mergeCell ref="A34:A35"/>
    <mergeCell ref="B34:F35"/>
    <mergeCell ref="I34:I35"/>
    <mergeCell ref="K34:K35"/>
    <mergeCell ref="M34:M35"/>
    <mergeCell ref="N34:N35"/>
    <mergeCell ref="A28:A29"/>
    <mergeCell ref="B28:F29"/>
    <mergeCell ref="I28:I29"/>
    <mergeCell ref="K28:K29"/>
    <mergeCell ref="M28:M29"/>
    <mergeCell ref="K31:K32"/>
    <mergeCell ref="M31:M32"/>
  </mergeCells>
  <pageMargins left="0.7" right="0.7" top="0.78740157499999996" bottom="0.78740157499999996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Eingabe Stundensatz</vt:lpstr>
      <vt:lpstr>Projektannahmen</vt:lpstr>
      <vt:lpstr>Leistungsumfang</vt:lpstr>
      <vt:lpstr>Terminplan</vt:lpstr>
      <vt:lpstr>Projektklassenfaktor</vt:lpstr>
      <vt:lpstr>Honorarberechnung</vt:lpstr>
      <vt:lpstr>Personaleinsatzplan</vt:lpstr>
      <vt:lpstr>Plausibilitätsprüfung</vt:lpstr>
      <vt:lpstr>LV</vt:lpstr>
      <vt:lpstr>Terminplan!_ftn1</vt:lpstr>
      <vt:lpstr>Honorarberechnung!Druckbereich</vt:lpstr>
      <vt:lpstr>Leistungsumfang!Druckbereich</vt:lpstr>
      <vt:lpstr>Personaleinsatzplan!Druckbereich</vt:lpstr>
      <vt:lpstr>Plausibilitätsprüfung!Druckbereich</vt:lpstr>
      <vt:lpstr>Projektklassenfaktor!Druckbereich</vt:lpstr>
      <vt:lpstr>Terminplan!Druckbereich</vt:lpstr>
      <vt:lpstr>Projektklassenfaktor!Drucktitel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Stempkowski</dc:creator>
  <cp:lastModifiedBy>Evelin.Waldauer</cp:lastModifiedBy>
  <cp:lastPrinted>2012-06-26T11:22:08Z</cp:lastPrinted>
  <dcterms:created xsi:type="dcterms:W3CDTF">2005-07-25T10:35:30Z</dcterms:created>
  <dcterms:modified xsi:type="dcterms:W3CDTF">2019-02-26T09:04:06Z</dcterms:modified>
</cp:coreProperties>
</file>